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315" windowWidth="12120" windowHeight="4185" activeTab="2"/>
  </bookViews>
  <sheets>
    <sheet name="Ingresos" sheetId="1" r:id="rId1"/>
    <sheet name="Gastos" sheetId="2" r:id="rId2"/>
    <sheet name="Resumen" sheetId="3" r:id="rId3"/>
    <sheet name="Evolución Presupuestaria" sheetId="4" r:id="rId4"/>
  </sheets>
  <definedNames>
    <definedName name="_xlnm.Print_Titles" localSheetId="1">'Gastos'!$2:$5</definedName>
    <definedName name="_xlnm.Print_Titles" localSheetId="0">'Ingresos'!$2:$5</definedName>
    <definedName name="_xlnm.Print_Titles" localSheetId="2">'Resumen'!$151:$151</definedName>
  </definedNames>
  <calcPr fullCalcOnLoad="1"/>
</workbook>
</file>

<file path=xl/comments1.xml><?xml version="1.0" encoding="utf-8"?>
<comments xmlns="http://schemas.openxmlformats.org/spreadsheetml/2006/main">
  <authors>
    <author>Sylvia Huechacona</author>
  </authors>
  <commentList>
    <comment ref="H135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</commentList>
</comments>
</file>

<file path=xl/comments2.xml><?xml version="1.0" encoding="utf-8"?>
<comments xmlns="http://schemas.openxmlformats.org/spreadsheetml/2006/main">
  <authors>
    <author>Sylvia Huechacona</author>
  </authors>
  <commentList>
    <comment ref="G63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G75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G205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G220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G248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G249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Incopora cuenta, segùn modificación oficio Nº36.640 del 04-02-2008</t>
        </r>
      </text>
    </comment>
    <comment ref="G250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G251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G275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G287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G288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G301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G302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G206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</commentList>
</comments>
</file>

<file path=xl/comments3.xml><?xml version="1.0" encoding="utf-8"?>
<comments xmlns="http://schemas.openxmlformats.org/spreadsheetml/2006/main">
  <authors>
    <author>Sylvia Huechacona</author>
  </authors>
  <commentList>
    <comment ref="G50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
</t>
        </r>
      </text>
    </comment>
    <comment ref="G137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G211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G223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G305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04-08-2008</t>
        </r>
      </text>
    </comment>
    <comment ref="G316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G364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G365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G393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G394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Incopora cuenta, segùn modificación oficio Nº36.640 del 04-02-2008</t>
        </r>
      </text>
    </comment>
    <comment ref="G395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G396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G420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G432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G433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G446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G447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</commentList>
</comments>
</file>

<file path=xl/sharedStrings.xml><?xml version="1.0" encoding="utf-8"?>
<sst xmlns="http://schemas.openxmlformats.org/spreadsheetml/2006/main" count="3191" uniqueCount="677">
  <si>
    <t>I. MUNICIPALIDAD DE RANCAGUA</t>
  </si>
  <si>
    <t>DIRECCIÓN DE ADMINISTRACIÓN Y FINANZAS</t>
  </si>
  <si>
    <t>SUB TITULO</t>
  </si>
  <si>
    <t>ITEM</t>
  </si>
  <si>
    <t>ASIGNACION</t>
  </si>
  <si>
    <t>SUB ASIGNACION</t>
  </si>
  <si>
    <t>DENOMINACION</t>
  </si>
  <si>
    <t>PRESUP. VIGENTE</t>
  </si>
  <si>
    <t>INGRESO PERCIBIDO</t>
  </si>
  <si>
    <t>SALDO PRESUP.</t>
  </si>
  <si>
    <t>03</t>
  </si>
  <si>
    <t>TRIBUTOS SOBRE EL USO DE BS. Y LA REALIZACION DE ACTIVIDADES</t>
  </si>
  <si>
    <t>01</t>
  </si>
  <si>
    <t>PATENTES Y TASAS POR DERECHOS</t>
  </si>
  <si>
    <t>001</t>
  </si>
  <si>
    <t>Patentes Municipales</t>
  </si>
  <si>
    <t>De Beneficio Municipal</t>
  </si>
  <si>
    <t>002</t>
  </si>
  <si>
    <t>De Beneficio Fondo Común Municipal</t>
  </si>
  <si>
    <t>Derechos de Aseo</t>
  </si>
  <si>
    <t>En Impuesto Territorial</t>
  </si>
  <si>
    <t>En Patentes Municipales</t>
  </si>
  <si>
    <t>003</t>
  </si>
  <si>
    <t>Cobro Directo</t>
  </si>
  <si>
    <t>Otros Derechos</t>
  </si>
  <si>
    <t>Urbanización y Construcción</t>
  </si>
  <si>
    <t>Permisos Provisorios</t>
  </si>
  <si>
    <t>Propaganda</t>
  </si>
  <si>
    <t>004</t>
  </si>
  <si>
    <t>Transferencia de Vehículos</t>
  </si>
  <si>
    <t>999</t>
  </si>
  <si>
    <t>Otros</t>
  </si>
  <si>
    <t xml:space="preserve">Derechos de Explotación  </t>
  </si>
  <si>
    <t>Concesiones</t>
  </si>
  <si>
    <t>Otras</t>
  </si>
  <si>
    <t>02</t>
  </si>
  <si>
    <t>PERMISOS Y LICENCIAS</t>
  </si>
  <si>
    <t>Permisos de Circulación</t>
  </si>
  <si>
    <t>Licencias de Conducir y similares</t>
  </si>
  <si>
    <t>PARTICIPACION EN IMPUESTO TERRITORIAL (ART. 37 DL 3063)</t>
  </si>
  <si>
    <t>99</t>
  </si>
  <si>
    <t>OTROS TRIBUTOS</t>
  </si>
  <si>
    <t>05</t>
  </si>
  <si>
    <t>TRANSFERENCIAS CORRIENTES</t>
  </si>
  <si>
    <t>DEL SECTOR PRIVADO</t>
  </si>
  <si>
    <t>DE OTRAS ENTIDADES PUBLICAS</t>
  </si>
  <si>
    <t xml:space="preserve"> 05</t>
  </si>
  <si>
    <t>De la Subsecretaría de Desarrollo Regional y Administrativo</t>
  </si>
  <si>
    <t>Fortalecimiento de la Gestión Municipal</t>
  </si>
  <si>
    <t>De la Subsecretaría de Educación</t>
  </si>
  <si>
    <t>Subvención de Escolaridad</t>
  </si>
  <si>
    <t>Otros Aportes</t>
  </si>
  <si>
    <t>De la Junta Nacional de Jardínes Infantiles</t>
  </si>
  <si>
    <t>Convenios Educación Prebásica</t>
  </si>
  <si>
    <t>005</t>
  </si>
  <si>
    <t>Del Servicio Nacional de Menores</t>
  </si>
  <si>
    <t>Subvención Menores en Situación Irregular</t>
  </si>
  <si>
    <t>006</t>
  </si>
  <si>
    <t>Del Servicio de Salud</t>
  </si>
  <si>
    <t>Atención Primaria Ley Nº 19.378 Art. 49</t>
  </si>
  <si>
    <t>Aportes Afectados</t>
  </si>
  <si>
    <t>007</t>
  </si>
  <si>
    <t>Del Tesoro Público</t>
  </si>
  <si>
    <t>Patentes Acuícolas Ley Nº 20.033 Art. 8º</t>
  </si>
  <si>
    <t>Aporte Fiscal Ley Nº 20.198 Art. 7º</t>
  </si>
  <si>
    <t>008</t>
  </si>
  <si>
    <t>De Gobierno Regional</t>
  </si>
  <si>
    <t>2% Subvención para actividades de carácter cultural</t>
  </si>
  <si>
    <t>De Otras Entidades Públicas</t>
  </si>
  <si>
    <t>100</t>
  </si>
  <si>
    <t>De Otras Municipalidades</t>
  </si>
  <si>
    <t>101</t>
  </si>
  <si>
    <t>De la Municipalidad a Servicios Incorporados a su Gestión</t>
  </si>
  <si>
    <t>04</t>
  </si>
  <si>
    <t>DE EMPRESAS PUBLICAS NO FINANC.</t>
  </si>
  <si>
    <t>DE EMPRESAS PUBLICAS FINANCIERAS</t>
  </si>
  <si>
    <t>06</t>
  </si>
  <si>
    <t>DE GOBIERNOS EXTRANJEROS</t>
  </si>
  <si>
    <t>07</t>
  </si>
  <si>
    <t>DE ORGANISMOS INTERNACIONALES</t>
  </si>
  <si>
    <t>RENTAS DE LA PROPIEDAD</t>
  </si>
  <si>
    <t>ARRIENDO DE ACTIVOS NO FINANCIEROS</t>
  </si>
  <si>
    <t>DIVIDENDOS</t>
  </si>
  <si>
    <t>INTERESES</t>
  </si>
  <si>
    <t>PARTICIPACION DE UTILIDADES</t>
  </si>
  <si>
    <t>OTRAS RENTAS DE LA PROPIEDAD</t>
  </si>
  <si>
    <t>INGRESOS DE OPERACIÓN</t>
  </si>
  <si>
    <t>VENTA DE BIENES</t>
  </si>
  <si>
    <t>VENTA DE SERVICIOS</t>
  </si>
  <si>
    <t>08</t>
  </si>
  <si>
    <t>OTROS INGRESOS CORRIENTES</t>
  </si>
  <si>
    <t>RECUPERACIONES Y REEMBOLSOS POR LICENCIAS MEDICAS</t>
  </si>
  <si>
    <t>Reembolso Art. 4º Ley N º 19.345</t>
  </si>
  <si>
    <t>Recuperaciones Art. 12 Ley Nº 18.196</t>
  </si>
  <si>
    <t>MULTAS Y SANCIONES PECUNIARIAS</t>
  </si>
  <si>
    <t>Multas - De Beneficio Municipal</t>
  </si>
  <si>
    <t>Multas Art. 14, Nº 6, Ley Nº 18.695  - De Beneficio Fondo Común Municipal</t>
  </si>
  <si>
    <t>Multas Ley de Alcoholes - De Beneficio Municipal</t>
  </si>
  <si>
    <t>Multas Ley de Alcoholes - De Beneficio Servicios de Salud</t>
  </si>
  <si>
    <t>Reg. de Multas de Tráns. no Pagadas - De Beneficio Municipal</t>
  </si>
  <si>
    <t>Reg. de Multas de Tráns. no Pagadas - De Beneficio Otras Municipalidades</t>
  </si>
  <si>
    <t>Multas Juzgado de Policía Local - De Beneficio Otras Municipalidades</t>
  </si>
  <si>
    <t>Intereses</t>
  </si>
  <si>
    <t>PARTIC. DEL FONDO COMUN MUNICIPAL - Art. 38 D.L. Nº 3.063, de 1979</t>
  </si>
  <si>
    <t>Participación Anual en el Trienio Correspondiente</t>
  </si>
  <si>
    <t>Por Menores Ingr. para Gastos de Oper. Ajustados</t>
  </si>
  <si>
    <t>De Municipalidades no Instaladas</t>
  </si>
  <si>
    <t>FONDOS DE TERCEROS</t>
  </si>
  <si>
    <t>Arancel al Registro de Multas de Tránsito No Pagadas</t>
  </si>
  <si>
    <t>Otros Fondos de Terceros</t>
  </si>
  <si>
    <t>OTROS</t>
  </si>
  <si>
    <t>Devoluc. y Reintegros no Provenientes de Impuestos</t>
  </si>
  <si>
    <t>10</t>
  </si>
  <si>
    <t>VENTA DE ACTIVOS NO FINANCIEROS</t>
  </si>
  <si>
    <t>TERRENOS</t>
  </si>
  <si>
    <t>EDIFICIOS</t>
  </si>
  <si>
    <t>VEHICULOS</t>
  </si>
  <si>
    <t>MOBILIARIO Y OTROS</t>
  </si>
  <si>
    <t>MAQUINAS Y EQUIPOS</t>
  </si>
  <si>
    <t>EQUIPOS INFORMATICOS</t>
  </si>
  <si>
    <t>PROGRAMAS INFORMATICOS</t>
  </si>
  <si>
    <t>OTROS ACTIVOS NO FINANCIEROS</t>
  </si>
  <si>
    <t>11</t>
  </si>
  <si>
    <t>VENTA DE ACTIVOS FINANCIEROS</t>
  </si>
  <si>
    <t>VENTA  O RESCATE DE TITULOS Y VALORES</t>
  </si>
  <si>
    <t>Depósitos a Plazo</t>
  </si>
  <si>
    <t>Cuotas de Fondos Mutuos</t>
  </si>
  <si>
    <t>Letras Hipotecarias</t>
  </si>
  <si>
    <t>VENTA DE ACCIONES Y PARTICIPACIONES DE CAPITAL</t>
  </si>
  <si>
    <t>OTROS ACTIVOS FINANCIEROS</t>
  </si>
  <si>
    <t>12</t>
  </si>
  <si>
    <t>RECUPERACION DE PRESTAMOS</t>
  </si>
  <si>
    <t>HIPOTECARIOS</t>
  </si>
  <si>
    <t>POR ANTICIPOS A CONTRATISTAS</t>
  </si>
  <si>
    <t>POR ANTICIPOS POR CAMBIO DE RESID.</t>
  </si>
  <si>
    <t>09</t>
  </si>
  <si>
    <t>POR VENTAS A PLAZO</t>
  </si>
  <si>
    <t>INGRESOS POR PERCIBIR</t>
  </si>
  <si>
    <t>13</t>
  </si>
  <si>
    <t>TRANSFERENCIAS PARA GASTOS DE CAPITAL</t>
  </si>
  <si>
    <t>De la Comunidad - Programa Pavimentos Participativos</t>
  </si>
  <si>
    <t>Programa Mejoramiento Urbano y Equipamiento Comunal (PMU)</t>
  </si>
  <si>
    <t>Programa Mejoramiento de Barrios (PMB)</t>
  </si>
  <si>
    <t>Patentes Mineras Ley Nº 19.143</t>
  </si>
  <si>
    <t>Casinos de Juegos Ley Nº 19.995</t>
  </si>
  <si>
    <t>14</t>
  </si>
  <si>
    <t>ENDEUDAMIENTO</t>
  </si>
  <si>
    <t>ENDEUDAMIENTO INTERNO</t>
  </si>
  <si>
    <t>Empréstitos</t>
  </si>
  <si>
    <t>Créditos de Proveedores</t>
  </si>
  <si>
    <t>15</t>
  </si>
  <si>
    <t>SALDO INICIAL DE CAJA</t>
  </si>
  <si>
    <t>T O T A L      I N G R E S O S............M$</t>
  </si>
  <si>
    <t>BALANCE DE EJECUCION PRESUPUESTARIA (BEP)</t>
  </si>
  <si>
    <t>SUB ASIG.</t>
  </si>
  <si>
    <t>SUB SUB ASIG.</t>
  </si>
  <si>
    <t>Presup. Vigente</t>
  </si>
  <si>
    <t>Gasto   Devengado</t>
  </si>
  <si>
    <t>Saldo    Presup.</t>
  </si>
  <si>
    <t>21</t>
  </si>
  <si>
    <t>GASTOS EN PERSONAL</t>
  </si>
  <si>
    <t>PERSONAL DE PLANTA</t>
  </si>
  <si>
    <t>Sueldos y Sobresueldos</t>
  </si>
  <si>
    <t>Sueldos Bases</t>
  </si>
  <si>
    <t>Asignación de Antigüedad</t>
  </si>
  <si>
    <t>Asignación de Experiencia, Art.48, Ley Nº19.070</t>
  </si>
  <si>
    <t>Asignación de Antigüedad, Art.97, letra g), de la Ley Nº18.883, y Leyes Nºs. 19.180 y 19.280</t>
  </si>
  <si>
    <t>Trienios, Art.7, Inciso 3, Ley Nº15.076</t>
  </si>
  <si>
    <t>Asignación Profesional</t>
  </si>
  <si>
    <t>Asignación Profesional, Decreto Ley Nº479 de 1974</t>
  </si>
  <si>
    <t>Asignación de Zona</t>
  </si>
  <si>
    <t>Asignación de Zona, Art. 7 y 25, D.L. Nº3.551</t>
  </si>
  <si>
    <t>Asignación de Zona, Art. 26 de la Ley Nº19.378, y Ley Nº19.354</t>
  </si>
  <si>
    <t>Asignación de Zona, Decreto Nº450 de 1974, Ley 19.354</t>
  </si>
  <si>
    <t>Complemento de Zona</t>
  </si>
  <si>
    <t>Asignaciones del D.L. Nº 3551, de 1981</t>
  </si>
  <si>
    <t>Asignación Municipal, Art.24 y 31 D.L. Nº3.551 de 1981</t>
  </si>
  <si>
    <t>Asignación Protección Imponibilidad, Art. 15, D.L. N° 3.551 de 1981</t>
  </si>
  <si>
    <t>Bonificación Art. 39, D.L. Nº3.551 de 1981</t>
  </si>
  <si>
    <t>Asignación de Nivelación</t>
  </si>
  <si>
    <t>Bonificación Art. 21, Ley N° 19.429</t>
  </si>
  <si>
    <t>Planilla Complementaria, Art. 4 y 11, Ley N° 19.598</t>
  </si>
  <si>
    <t>009</t>
  </si>
  <si>
    <t>Asignaciones Especiales</t>
  </si>
  <si>
    <t>Monto Fijo Complementario Art. 3, Ley Nº 19.278</t>
  </si>
  <si>
    <t>Unidad de Mejoramiento Profesional, Art. 54 y sgtes., Ley N° 19.070</t>
  </si>
  <si>
    <t>Bonificación Proporcional Art. 8, Ley Nº 19.410</t>
  </si>
  <si>
    <t>Bonificación Especial Profesores Encargados de Escuelas Rurales, Art. 13, Ley N° 19.715</t>
  </si>
  <si>
    <t>Asignación Art. 1, Ley Nº19.529</t>
  </si>
  <si>
    <t>Red Maestros de Maestros</t>
  </si>
  <si>
    <t>Asignación Especial Transitoria, Art. 45, Ley Nº19.378</t>
  </si>
  <si>
    <t>Otras  Asignaciones Especiales</t>
  </si>
  <si>
    <t>010</t>
  </si>
  <si>
    <t>Asignación de Pérdida de Caja</t>
  </si>
  <si>
    <t>Asignación por Pédrida de Caja, Art. 97, letra a), Ley Nº18.883</t>
  </si>
  <si>
    <t>011</t>
  </si>
  <si>
    <t>Asignación de Movilización</t>
  </si>
  <si>
    <t>Asignación de Movilización, Art. 97, letra b), Ley Nº18.883</t>
  </si>
  <si>
    <t>014</t>
  </si>
  <si>
    <t>Asignaciones Compensatorias</t>
  </si>
  <si>
    <t>Incremento Previsional, Art. 2, D.L. 3501, de 1980</t>
  </si>
  <si>
    <t>Bonificación Compensatoria de Salud, Art. 3, Ley Nº18.566</t>
  </si>
  <si>
    <t>Bonificación Compensatoria, Art.10, Ley Nº18.675</t>
  </si>
  <si>
    <t>Bonificación Adicional Art. 11 Ley N° 18.675</t>
  </si>
  <si>
    <t>Bonificación Art. 3, Ley Nº19.200</t>
  </si>
  <si>
    <t>Bonificación Previsional, Art. 19, Ley Nº15.386</t>
  </si>
  <si>
    <t>Remuneración Adicional, Art. 3 transitorio, Ley N° 19.070</t>
  </si>
  <si>
    <t>Otras Asignaciones Compensatorias</t>
  </si>
  <si>
    <t>015</t>
  </si>
  <si>
    <t>Asginaciones Sustitutivas</t>
  </si>
  <si>
    <t>Asignación Única, Art.4, Ley Nº18.717</t>
  </si>
  <si>
    <t>Otras Asignaciones Sustitutivas</t>
  </si>
  <si>
    <t>019</t>
  </si>
  <si>
    <t>Asignación de Responsabilidad</t>
  </si>
  <si>
    <t>Asignación de Responsabilidad Judicial, Art. 2º,  Ley Nº 20.008</t>
  </si>
  <si>
    <t>Asignación de Responsabilidad Directiva</t>
  </si>
  <si>
    <t>Asignación de Responsabilidad Técnico Pedagógica</t>
  </si>
  <si>
    <t>Asignación de Responsabilidad, Art. 9, Decreto 252 de 1976</t>
  </si>
  <si>
    <t>025</t>
  </si>
  <si>
    <t>Asignación Artículo 1, Ley Nº19.112</t>
  </si>
  <si>
    <t>Asignación Especial Profesionales Ley Nº15.076, letra a), Art. 1, Ley Nº19.112</t>
  </si>
  <si>
    <t>Asignación Especial Profesionales Ley Nº15.076, letra b), Art. 1, Ley Nº19.112</t>
  </si>
  <si>
    <t>026</t>
  </si>
  <si>
    <t>Asignación Artículo 1, Ley Nº19.432</t>
  </si>
  <si>
    <t>027</t>
  </si>
  <si>
    <t>Asignación de Estímulo Médico Diruno</t>
  </si>
  <si>
    <t>028</t>
  </si>
  <si>
    <t>Asignación de Estímulo Personal Médico y Profesores</t>
  </si>
  <si>
    <t>Asignación por Desempeño en Condiciones Difíciles, Art. 50, Ley N° 19.070</t>
  </si>
  <si>
    <t>Asignación por Desempeño en Condiciones Difíciles, Art. 28, Ley N° 19.378</t>
  </si>
  <si>
    <t>Asignación de Estímulo, Art. 65, Ley Nª18.482</t>
  </si>
  <si>
    <t>Asignación de Estímulo, Art. 14, Ley Nª15.076</t>
  </si>
  <si>
    <t>031</t>
  </si>
  <si>
    <t>Asignación de Experiencia Calificada</t>
  </si>
  <si>
    <t>Asignación de Perfeccionamiento, Art. 49, Ley N° 19.070</t>
  </si>
  <si>
    <t>Asignación Post-Título, Art. 42, Ley N° 19.378</t>
  </si>
  <si>
    <t>032</t>
  </si>
  <si>
    <t>Asignación de Reforzamiento Profesional Diurno</t>
  </si>
  <si>
    <t>037</t>
  </si>
  <si>
    <t>Asignación Única</t>
  </si>
  <si>
    <t>038</t>
  </si>
  <si>
    <t>Asignación Zonas Extremas</t>
  </si>
  <si>
    <t>043</t>
  </si>
  <si>
    <t>Asignación Inherente al Cargo Ley Nº 18.695</t>
  </si>
  <si>
    <t>044</t>
  </si>
  <si>
    <t>Asignación de Atención Primaria Municipal</t>
  </si>
  <si>
    <t>Asignación Atención Primaria Salud, Arts. 23 y 25, Ley N° 19.378</t>
  </si>
  <si>
    <t>Otras Asignaciones</t>
  </si>
  <si>
    <t>Aportes del Empleador</t>
  </si>
  <si>
    <t>A Servicios de Bienestar</t>
  </si>
  <si>
    <t>Otras Cotizaciones Previsionales</t>
  </si>
  <si>
    <t>Asignaciones por Desempeño</t>
  </si>
  <si>
    <t>Desempeño Institucional</t>
  </si>
  <si>
    <t>Asignación de Mejoramiento de la Gestión Municipal, Art. 1, Ley Nº20.008</t>
  </si>
  <si>
    <t>Bonificación Excelencia</t>
  </si>
  <si>
    <t>Desempeño Colectivo</t>
  </si>
  <si>
    <t>Asignación Variable por Desempeño Colectivo</t>
  </si>
  <si>
    <t>Asignación de Desarrollo y Estímulo al Desempeño Colectivo, Ley Nº19.813</t>
  </si>
  <si>
    <t>Desempeño Individual</t>
  </si>
  <si>
    <t>Asignación de Incentivo por Gestión Jurisdiccional, Art. 2, Ley Nº20.008</t>
  </si>
  <si>
    <t>Asignación Especial de Incentivo Profesional, Art. 47, Ley N° 19.070</t>
  </si>
  <si>
    <t>Asignación Variable por Desempeño Individual</t>
  </si>
  <si>
    <t>Asignación por Mérito, Art. 30 de la Ley Nº19.378, agrega Ley Nº19.607</t>
  </si>
  <si>
    <t>Remuneraciones Variables</t>
  </si>
  <si>
    <t>Asignación Artículo 12, Ley Nº 19.041</t>
  </si>
  <si>
    <t>Asignación de Estímulo Jornadas Prioriarias</t>
  </si>
  <si>
    <t>Asignación Artículo 3, Ley Nº19.264</t>
  </si>
  <si>
    <t>Asignación por Desempeño de Funciones Críticas</t>
  </si>
  <si>
    <t>Trabajos Extraordinarios</t>
  </si>
  <si>
    <t>Comisiones de Servicios en el País</t>
  </si>
  <si>
    <t>Comisiones de Servicios en el Exterior</t>
  </si>
  <si>
    <t>Aguinaldos y Bonos</t>
  </si>
  <si>
    <t>Aguinaldos</t>
  </si>
  <si>
    <t>Aguinaldo de Fiestras Patrias</t>
  </si>
  <si>
    <t>Aguinaldo de Navidad</t>
  </si>
  <si>
    <t>Bono de Escolaridad</t>
  </si>
  <si>
    <t>Bonos Especiales</t>
  </si>
  <si>
    <t>Bono Extraordinario Anual</t>
  </si>
  <si>
    <t>Bonificación Adicional al Bono de Escolaridad</t>
  </si>
  <si>
    <t>PERSONAL A CONTRATA</t>
  </si>
  <si>
    <t>Asignaciones del D.L. Nº 3.551, de 1981</t>
  </si>
  <si>
    <t>Asignación Protección Imponibilidad, Art. 15 D.L. Nº3.551 de 1981</t>
  </si>
  <si>
    <t>013</t>
  </si>
  <si>
    <t>Asignaciones Sustitutivas</t>
  </si>
  <si>
    <t>Asignación Unica Artículo 4, Ley N° 18.717</t>
  </si>
  <si>
    <t>018</t>
  </si>
  <si>
    <t>Asignación de Estímulo Personal Médico Diurno</t>
  </si>
  <si>
    <t>Asignación Artículo 7, Ley Nº19.112</t>
  </si>
  <si>
    <t>029</t>
  </si>
  <si>
    <t>Asignación de Estímulo por Falencia</t>
  </si>
  <si>
    <t>030</t>
  </si>
  <si>
    <t>036</t>
  </si>
  <si>
    <t>042</t>
  </si>
  <si>
    <t>Asignación de Mérito, Art. 30 de la Ley Nº19.378, agrega Ley  Nº19.607</t>
  </si>
  <si>
    <t>OTRAS REMUNERACIONES</t>
  </si>
  <si>
    <t>Honorarios a Suma Alzada - Personas Naturales</t>
  </si>
  <si>
    <t>Honorarios Asimilados a Grados</t>
  </si>
  <si>
    <t>Jornales</t>
  </si>
  <si>
    <t>Remuneraciones Reguladas por el Código del Trabajo</t>
  </si>
  <si>
    <t>Suplencias y Reemplazos</t>
  </si>
  <si>
    <t>Personal a Trato y/o Temporal</t>
  </si>
  <si>
    <t>Alumnos en Práctica</t>
  </si>
  <si>
    <t>Asignación Art. 1, Ley Nº19.464</t>
  </si>
  <si>
    <t>OTROS GASTOS EN PERSONAL</t>
  </si>
  <si>
    <t>Asignación de Traslado</t>
  </si>
  <si>
    <t>Asignación por Cambio de Residencia Art. 97, letra c), Ley Nº18.883</t>
  </si>
  <si>
    <t>Dietas a Juntas, Consejos y Comisiones</t>
  </si>
  <si>
    <t>Prestaciones de Servicios en Programas Comunitarios</t>
  </si>
  <si>
    <t>22</t>
  </si>
  <si>
    <t>BIENES Y SERVICIOS DE CONSUMO</t>
  </si>
  <si>
    <t>ALIMENTOS Y BEBIDAS</t>
  </si>
  <si>
    <t xml:space="preserve">Para Personas </t>
  </si>
  <si>
    <t>Para Animales</t>
  </si>
  <si>
    <t>TEXTILES, VESTUARIO Y CALZADO</t>
  </si>
  <si>
    <t>Textiles y Acabados Textiles</t>
  </si>
  <si>
    <t>Vestuario, Accesorios y Prendas Diversas</t>
  </si>
  <si>
    <t>Calzado</t>
  </si>
  <si>
    <t>COMBUSTIBLES Y LUBRICANTES</t>
  </si>
  <si>
    <t>Para Vehículos</t>
  </si>
  <si>
    <t>Para Maquinar., Equipos de Prod., Tracción y Elevación</t>
  </si>
  <si>
    <t>Para Calefacción</t>
  </si>
  <si>
    <t>Para Otros</t>
  </si>
  <si>
    <t>MATERIALES DE USO O CONSUMO</t>
  </si>
  <si>
    <t>Materiales de Oficina</t>
  </si>
  <si>
    <t>Textos y Otros Materiales de Enseñanza</t>
  </si>
  <si>
    <t>Productos Químicos</t>
  </si>
  <si>
    <t>Productos Farmacéuticos</t>
  </si>
  <si>
    <t>Materiales y Utiles Quirúrgicos</t>
  </si>
  <si>
    <t>Fertilizantes, Insecticidas, Fungicidas y Otros</t>
  </si>
  <si>
    <t>Materiales y Utiles de Aseo</t>
  </si>
  <si>
    <t>Menaje para Oficina, Casino y Otros</t>
  </si>
  <si>
    <t>Insumos, Repuestos y Accesorios Computacionales</t>
  </si>
  <si>
    <t xml:space="preserve">Materiales para Mantenim. y Reparaciones de Inmuebles </t>
  </si>
  <si>
    <t>Repuestos y  Acces. para Manten. y Repar. de Vehículos</t>
  </si>
  <si>
    <t>012</t>
  </si>
  <si>
    <t>Otros Materiales, Repuestos y Utiles Diversos</t>
  </si>
  <si>
    <t>Equipos Menores</t>
  </si>
  <si>
    <t>Productos Elaborados de Cuero, Caucho y Plásticos</t>
  </si>
  <si>
    <t>Productos Agropecuarios y Forestales</t>
  </si>
  <si>
    <t>016</t>
  </si>
  <si>
    <t>Materias Primas y Semielaboradas</t>
  </si>
  <si>
    <t>SERVICIOS BASICOS</t>
  </si>
  <si>
    <t>Electricidad</t>
  </si>
  <si>
    <t>Agua</t>
  </si>
  <si>
    <t>Gas</t>
  </si>
  <si>
    <t>Correo</t>
  </si>
  <si>
    <t>Telefonía Fija</t>
  </si>
  <si>
    <t>Telefonía Celular</t>
  </si>
  <si>
    <t>Acceso a Internet</t>
  </si>
  <si>
    <t>Enlaces de Telecomunicaciones</t>
  </si>
  <si>
    <t>MANTENIMIENTO Y REPARACIONES</t>
  </si>
  <si>
    <t>Mantenimiento y Reparación de Edificaciones</t>
  </si>
  <si>
    <t>Mantenimiento y Reparación de Vehículos</t>
  </si>
  <si>
    <t>Mantenimiento y Reparación Mobiliarios y Otros</t>
  </si>
  <si>
    <t>Mantenimiento y Reparación de Máquinas y Equipos de Oficina</t>
  </si>
  <si>
    <t>Mantenimiento y Reparación Maquinaria y Equipos de Producción</t>
  </si>
  <si>
    <t>Mantenimiento y Reparación de Otras Maquinarias y Equipos</t>
  </si>
  <si>
    <t>Mantenimiento y Reparación de Equipos Informáticos</t>
  </si>
  <si>
    <t>PUBLICIDAD Y DIFUSION</t>
  </si>
  <si>
    <t>Servicios de Publicidad</t>
  </si>
  <si>
    <t>Servicios de Impresión</t>
  </si>
  <si>
    <t>Servicios de Encuadernación y Empaste</t>
  </si>
  <si>
    <t>SERVICIOS GENERALES</t>
  </si>
  <si>
    <t>Servicios de Aseo</t>
  </si>
  <si>
    <t>Servicios de Vigilancia</t>
  </si>
  <si>
    <t>Servicios de Mantención de Jardines</t>
  </si>
  <si>
    <t>Servicios de Mantención de Alumbrado Público</t>
  </si>
  <si>
    <t>Servicios de Mantención de Semáforos</t>
  </si>
  <si>
    <t>Servicios de Mantención de Señalizac. de Tránsito</t>
  </si>
  <si>
    <t>Pasajes, Fletes y Bodegajes</t>
  </si>
  <si>
    <t>Salas Cunas y/o Jardines Infantiles</t>
  </si>
  <si>
    <t>Servicios de Pago y Cobranza</t>
  </si>
  <si>
    <t>Servicios de Suscripción y Similares</t>
  </si>
  <si>
    <t>Servicios de Producción y Desarrollo de Eventos</t>
  </si>
  <si>
    <t>ARRIENDOS</t>
  </si>
  <si>
    <t>Arriendo de Terrenos</t>
  </si>
  <si>
    <t>Arriendo de Edificios</t>
  </si>
  <si>
    <t>Arriendo de Vehículos</t>
  </si>
  <si>
    <t>Arriendo de Mobiliario y Otros</t>
  </si>
  <si>
    <t>Arriendo de Máquinas y Equipos</t>
  </si>
  <si>
    <t>Arriendo de Equipos Informáticos</t>
  </si>
  <si>
    <t>SERVICIOS FINANCIEROS Y DE SEGUROS</t>
  </si>
  <si>
    <t>Gastos Financ. por Compra y Venta de Títulos y Valores</t>
  </si>
  <si>
    <t>Primas y Gastos de Seguros</t>
  </si>
  <si>
    <t>Servicios de Giros y Remesas</t>
  </si>
  <si>
    <t>Gastos Bancarios</t>
  </si>
  <si>
    <t>SERVICIOS TECNICOS Y PROFESIONALES</t>
  </si>
  <si>
    <t>Estudios e Investigaciones</t>
  </si>
  <si>
    <t>Cursos de Capacitación</t>
  </si>
  <si>
    <t>Servicios Informáticos</t>
  </si>
  <si>
    <t>OTROS GASTOS EN BIENES Y SERVICIOS DE CONSUMO</t>
  </si>
  <si>
    <t>Gastos Reservados</t>
  </si>
  <si>
    <t>Gastos Menores</t>
  </si>
  <si>
    <t>Gastos de Representación, Protocolo y Ceremonial</t>
  </si>
  <si>
    <t>Intereses, Multas y Recargos</t>
  </si>
  <si>
    <t>Derechos y Tasas</t>
  </si>
  <si>
    <t>23</t>
  </si>
  <si>
    <t>PRESTACIONES DE SEGURIDAD SOCIAL</t>
  </si>
  <si>
    <t>PRESTACIONES PREVISIONALES</t>
  </si>
  <si>
    <t>Desahucios e Indemnizaciones</t>
  </si>
  <si>
    <t>AL SECTOR PRIVADO</t>
  </si>
  <si>
    <t>24</t>
  </si>
  <si>
    <t>Fondos de Emergencia</t>
  </si>
  <si>
    <t>Educación - Pers. Jurídicas Priv. Art. 13 D.F.L. Nº 1, 3063/80</t>
  </si>
  <si>
    <t>Salud - Pers. Jurídicas Priv.  Art. 13 D.F.L. Nº 1, 3063/80</t>
  </si>
  <si>
    <t>Organizaciones Comunitarias</t>
  </si>
  <si>
    <t xml:space="preserve">Otras Pers.onas Jurídicas Privadas </t>
  </si>
  <si>
    <t>Voluntariado</t>
  </si>
  <si>
    <t>Asistencia Social a Personas Naturales</t>
  </si>
  <si>
    <t>Premios y Otros</t>
  </si>
  <si>
    <t>Otras Transferencias al Sector Privado</t>
  </si>
  <si>
    <t>A OTRAS ENTIDADES PUBLICAS</t>
  </si>
  <si>
    <t>A la  Junta Nacional de Auxilio Escolar y B ecas</t>
  </si>
  <si>
    <t>A los Servicios de Salud</t>
  </si>
  <si>
    <t>Multa Ley de Alcoholes</t>
  </si>
  <si>
    <t>080</t>
  </si>
  <si>
    <t>A las Asociaciones</t>
  </si>
  <si>
    <t>A la Asociación Chilena de Municipalidades</t>
  </si>
  <si>
    <t>A Otras Asociaciones</t>
  </si>
  <si>
    <t>090</t>
  </si>
  <si>
    <t>Al Fondo Común Municipal - Permisos de Circulación</t>
  </si>
  <si>
    <t>Aporte Año Vigente</t>
  </si>
  <si>
    <t>Aporte Otros Años</t>
  </si>
  <si>
    <t>Intereses y Reajustes Pagados</t>
  </si>
  <si>
    <t>091</t>
  </si>
  <si>
    <t>Al Fondo Común Municipal - Patentes Municipales</t>
  </si>
  <si>
    <t>092</t>
  </si>
  <si>
    <t>Al Fondo Común Municipal - Multas</t>
  </si>
  <si>
    <t>Art. 14, Nº 6 Ley Nº18.695</t>
  </si>
  <si>
    <t>099</t>
  </si>
  <si>
    <t>A Otras Entidades Públicas</t>
  </si>
  <si>
    <t>A Otras Municipalidades</t>
  </si>
  <si>
    <t>A Servicios Incorporados a su Gestión</t>
  </si>
  <si>
    <t>A Educación</t>
  </si>
  <si>
    <t>A Salud</t>
  </si>
  <si>
    <t>A Cementerios</t>
  </si>
  <si>
    <t>A EMPRESAS PUBLICAS NO FINANCIERAS</t>
  </si>
  <si>
    <t>A EMPRESAS PUBLICAS FINANCIERAS</t>
  </si>
  <si>
    <t>A GOBIERNOS EXTRANJEROS</t>
  </si>
  <si>
    <t>A ORGANISMOS INTERNACIONALES</t>
  </si>
  <si>
    <t>INTEGROS AL FISCO</t>
  </si>
  <si>
    <t>IMPUESTOS</t>
  </si>
  <si>
    <t>OTROS GASTOS CORRIENTES</t>
  </si>
  <si>
    <t>26</t>
  </si>
  <si>
    <t>DEVOLUCIONES</t>
  </si>
  <si>
    <t>COMPENSACIÓN POR DAÑOS A TERCERO Y/O A LA PROPIEDAD</t>
  </si>
  <si>
    <t>APLICACIÓN FONDOS DE TERCEROS</t>
  </si>
  <si>
    <t>Aplicación Otros Fondos de Terceros</t>
  </si>
  <si>
    <t>ADQUISIC. DE ACTIVOS NO FINANCIEROS</t>
  </si>
  <si>
    <t>Máquinas y Equipos de Oficina</t>
  </si>
  <si>
    <t>Maquinarias y Equipos para la Producción</t>
  </si>
  <si>
    <t>Equipos Computacionales y Periféricos</t>
  </si>
  <si>
    <t>Equipos de Comunicaciones para Redes Informáticas</t>
  </si>
  <si>
    <t>Programas Computacionales</t>
  </si>
  <si>
    <t>Sistemas de Información</t>
  </si>
  <si>
    <t>ADQUISIC. DE ACTIVOS FINANCIEROS</t>
  </si>
  <si>
    <t>COMPRA DE TITULOS Y VALORES</t>
  </si>
  <si>
    <t>COMPRA DE ACCIONES Y PARTIC. DE CAPITAL</t>
  </si>
  <si>
    <t>OPERACIONES DE CAMBIO</t>
  </si>
  <si>
    <t>INICIATIVAS DE INVERSION</t>
  </si>
  <si>
    <t>ESTUDIOS BASICOS</t>
  </si>
  <si>
    <t>Gastos Administrativos</t>
  </si>
  <si>
    <t>Consultorías</t>
  </si>
  <si>
    <t>PROYECTOS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</si>
  <si>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</si>
  <si>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</si>
  <si>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</si>
  <si>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</si>
  <si>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</si>
  <si>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</si>
  <si>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</si>
  <si>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</si>
  <si>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PRESTAMOS</t>
  </si>
  <si>
    <t>POR ANTICIPOS POR CAMBIO DE RESIDENCIA</t>
  </si>
  <si>
    <t>TRANSFERENCIAS DE CAPITAL</t>
  </si>
  <si>
    <t>33</t>
  </si>
  <si>
    <t>A los Servicios Regionales de Vivienda y Urbanización</t>
  </si>
  <si>
    <t>Programa Pavimentos Participativos</t>
  </si>
  <si>
    <t>Programa Mejoramiento Condominios Sociales</t>
  </si>
  <si>
    <t>Programa Rehabilitación de Espacios Públicos</t>
  </si>
  <si>
    <t>Programas Urbanos</t>
  </si>
  <si>
    <t>34</t>
  </si>
  <si>
    <t>SERVICIO DE LA DEUDA</t>
  </si>
  <si>
    <t>AMORTIZACION DEUDA INTERNA</t>
  </si>
  <si>
    <t>INTERESES DEUDA INTERNA</t>
  </si>
  <si>
    <t>OTROS GASTOS FINANC. DEUDA INTERNA</t>
  </si>
  <si>
    <t>DEUDA FLOTANTE</t>
  </si>
  <si>
    <t>35</t>
  </si>
  <si>
    <t>SALDO FINAL DE CAJA</t>
  </si>
  <si>
    <t>T O T A L      G A S T O S ............M$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</si>
  <si>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</si>
  <si>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</si>
  <si>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</si>
  <si>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</si>
  <si>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</si>
  <si>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</si>
  <si>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</si>
  <si>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</si>
  <si>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SEPTBRE</t>
  </si>
  <si>
    <t>OCTUBRE</t>
  </si>
  <si>
    <t>NOVBRE</t>
  </si>
  <si>
    <t>DCBRE</t>
  </si>
  <si>
    <t>SPTBRE</t>
  </si>
  <si>
    <t>Patentes Comerciales</t>
  </si>
  <si>
    <t>Patentes Industriales</t>
  </si>
  <si>
    <t>Patentes Profesionales</t>
  </si>
  <si>
    <t>Patentes Alcoholes</t>
  </si>
  <si>
    <t>Patentes Alcoholes art. 140</t>
  </si>
  <si>
    <t>Patentes Provisorias</t>
  </si>
  <si>
    <t>Multas por incumplimiento de contrato</t>
  </si>
  <si>
    <t>Avance</t>
  </si>
  <si>
    <t>001.1</t>
  </si>
  <si>
    <t>001.2</t>
  </si>
  <si>
    <t>001.3</t>
  </si>
  <si>
    <t>001.4</t>
  </si>
  <si>
    <t>001.5</t>
  </si>
  <si>
    <t>001.6</t>
  </si>
  <si>
    <t>001.7</t>
  </si>
  <si>
    <t>001.8</t>
  </si>
  <si>
    <t>Deuda Exigible</t>
  </si>
  <si>
    <t>Condominios Sociales</t>
  </si>
  <si>
    <t>SALDO DISPONIBLE ACUMULADO</t>
  </si>
  <si>
    <t>AVANCE</t>
  </si>
  <si>
    <t>De la Secretaría y Administración General</t>
  </si>
  <si>
    <t xml:space="preserve"> AVANCE</t>
  </si>
  <si>
    <t>Asignación por Pérdida de Caja, Art. 97, letra a), Ley Nº18.883</t>
  </si>
  <si>
    <t>SALDO DISPONIBLE MENSUAL</t>
  </si>
  <si>
    <t>DEUDA EXIGIBLE</t>
  </si>
  <si>
    <t>Patentes Máquinas Tragamonedas</t>
  </si>
  <si>
    <t>Patentes ferias Enroladas</t>
  </si>
  <si>
    <t>Seguros de Invalidez y Sobrevivencia</t>
  </si>
  <si>
    <t>Bonificación Compensatoria Art. 1</t>
  </si>
  <si>
    <t>Bonificación Compensatoria art. 1</t>
  </si>
  <si>
    <t>Bonificación Compensatoria art Nº</t>
  </si>
  <si>
    <t>Aporte fiscal Ley Nº20.198, art. 7</t>
  </si>
  <si>
    <t>Emprestitos</t>
  </si>
  <si>
    <t>Ley 20.387 cumplimiento art 5</t>
  </si>
  <si>
    <t>Bonif. Compensatoria art. 11</t>
  </si>
  <si>
    <t>Intereses Deuda Interna</t>
  </si>
  <si>
    <t>Otras transferencias corrientes del tes.</t>
  </si>
  <si>
    <t>Aportes Extraordinarios</t>
  </si>
  <si>
    <t>Gobierno Regional</t>
  </si>
  <si>
    <t>Prestaciones Sociales del Empleador</t>
  </si>
  <si>
    <t>Indemnización de cargo fiscal</t>
  </si>
  <si>
    <t>Otras Indemnizaciones</t>
  </si>
  <si>
    <t>T O T A L      I N G R E S O S...........$</t>
  </si>
  <si>
    <t>T O T A L      G A S T O S ............$</t>
  </si>
  <si>
    <t>Otras Tansferencias para gastos de capital</t>
  </si>
  <si>
    <t>Gtos. Por Com. Y Rep. Pedro Hernández</t>
  </si>
  <si>
    <t>Gtos. Por Com. Y Rep. Danilo Jorquera</t>
  </si>
  <si>
    <t>Gtos. Por Com. Y Rep. Juan Ramón Godoy</t>
  </si>
  <si>
    <t>Gtos. Por Com. Y Rep. Jorge Vasquez</t>
  </si>
  <si>
    <t>Dietas de Concejales</t>
  </si>
  <si>
    <t>Gastos por Comisiones y Representaciones</t>
  </si>
  <si>
    <t>Gtos. Por Com. Y Rep. Silvia Santelices</t>
  </si>
  <si>
    <t>Compensación por Viviendas Sociales</t>
  </si>
  <si>
    <t>Teatro Regional Rancagua</t>
  </si>
  <si>
    <t>Compensación Fondo Común Municipal</t>
  </si>
  <si>
    <t>Del Gobierno Regional</t>
  </si>
  <si>
    <t>Saldo inicial de caja neto</t>
  </si>
  <si>
    <t>Gtos. Por Com. Y Rep. Pamela Jadell</t>
  </si>
  <si>
    <t>Gtos. Por Com. Y Rep. Arturo Jara</t>
  </si>
  <si>
    <t>Gtos. Por Com. Y Rep. Juan Nuñez</t>
  </si>
  <si>
    <t>Gtos. Por Com. Y Rep. Ricardo Guzmán</t>
  </si>
  <si>
    <t>Gtos. Por Com. Y Rep. Anibal González</t>
  </si>
  <si>
    <t>022</t>
  </si>
  <si>
    <t>Componente Base Asignación de desempeño</t>
  </si>
  <si>
    <t>021</t>
  </si>
  <si>
    <t>CALCULO INDICADORES CONTRATA Y HONORARIOS</t>
  </si>
  <si>
    <t>GASTO EJECUTADO EN PERSONAL CONTRATA</t>
  </si>
  <si>
    <t>GASTO EJECUTADO EN PERSONAL HONORARIOS</t>
  </si>
  <si>
    <t>GASTO EJECUTADO EN PERSONAL PLANTA</t>
  </si>
  <si>
    <t>PORCENTAJE DE EJECUCIÓN</t>
  </si>
  <si>
    <t>EN PERSONAL CONTRATA</t>
  </si>
  <si>
    <t>EN PERSONAL HONORARIOS</t>
  </si>
  <si>
    <t>INGRESOS:</t>
  </si>
  <si>
    <t xml:space="preserve"> M$</t>
  </si>
  <si>
    <t>INGRESOS MUNICIPALES (PERCIBIDOS):</t>
  </si>
  <si>
    <t>1. Ingresos Propios Permanentes (IPP):</t>
  </si>
  <si>
    <t xml:space="preserve">  1.1. Impuesto Territorial</t>
  </si>
  <si>
    <t xml:space="preserve">  1.2. Permiso de Circulac, Benef Municip.</t>
  </si>
  <si>
    <t xml:space="preserve">  1.3. Patentes de Beneficio Municipal</t>
  </si>
  <si>
    <t xml:space="preserve">  1.4. Derechos de Aseo</t>
  </si>
  <si>
    <t xml:space="preserve">  1.5. Otros Derechos</t>
  </si>
  <si>
    <t xml:space="preserve">  1.6. Rentas de la Propiedad</t>
  </si>
  <si>
    <t xml:space="preserve">  1.7.  Licencias de Conducir y Similares</t>
  </si>
  <si>
    <t xml:space="preserve">  1.8.  Multas de Beneficio Municipal e Intereses (Alcoholes, Tránsito No Pagadas y Otras)</t>
  </si>
  <si>
    <t xml:space="preserve">  1.9.  Concesiones</t>
  </si>
  <si>
    <t xml:space="preserve">  1.10.  Patentes Acuícolas Ley Nº 20.033 Art. 8º</t>
  </si>
  <si>
    <t xml:space="preserve">  1.11.  Patentes Mineras Ley Nº 19.143</t>
  </si>
  <si>
    <t xml:space="preserve">  1.12.  Casinos de Juegos Ley Nº 19.995</t>
  </si>
  <si>
    <t xml:space="preserve">2. Participación en FCM </t>
  </si>
  <si>
    <t>3. Ingresos Propios (IP), criterio SUBDERE</t>
  </si>
  <si>
    <t xml:space="preserve">4. Transferencias Corrientes </t>
  </si>
  <si>
    <t xml:space="preserve">5. Transferencias para Gastos de Capital </t>
  </si>
  <si>
    <t>6. Venta de Activos No Financieros (Terrenos, Edificios, Vehículos, Mobiliarios, etc.)</t>
  </si>
  <si>
    <t>8. Otros Ingresos Municipales</t>
  </si>
  <si>
    <t>GASTOS:</t>
  </si>
  <si>
    <t>GASTOS MUNICIPALES (DEVENGADOS):</t>
  </si>
  <si>
    <t>1. Gasto en Personal:</t>
  </si>
  <si>
    <t>1.1. Personal de Planta</t>
  </si>
  <si>
    <t>1.2. Personal a Contrata</t>
  </si>
  <si>
    <t>1.3. Personal a Honorarios</t>
  </si>
  <si>
    <t>1.4. Prestaciones de Servicios en Programas Comunitarios</t>
  </si>
  <si>
    <t>1.5. Otros Gastos en Personal</t>
  </si>
  <si>
    <t>2. Gasto en Bienes y Servicios</t>
  </si>
  <si>
    <t xml:space="preserve">   2.1. Consumo de Electricidad</t>
  </si>
  <si>
    <t xml:space="preserve">   2.2. Consumo de Agua</t>
  </si>
  <si>
    <t xml:space="preserve">   2.3. Servicios de Aseo, Recolección de Basura y Vertederos</t>
  </si>
  <si>
    <t xml:space="preserve">   2.4. Servicios de Mantención de Alumbrado Público</t>
  </si>
  <si>
    <t xml:space="preserve">   2.5. Servicios de Mantención de Jardines</t>
  </si>
  <si>
    <t xml:space="preserve">   2.6. Servicios de Mantención de Semáforos</t>
  </si>
  <si>
    <t xml:space="preserve">   2.7. Servicios de Mantención de Señalización de Tránsito</t>
  </si>
  <si>
    <t xml:space="preserve">   2.8. Otros Gastos en Bienes y Servicios</t>
  </si>
  <si>
    <t>3. Transferencias Corrientes :</t>
  </si>
  <si>
    <t xml:space="preserve"> 3.1. Transferencias a Educación</t>
  </si>
  <si>
    <t xml:space="preserve"> 3.2. Transferencias a Salud</t>
  </si>
  <si>
    <t xml:space="preserve"> 3.3. Transferencia al FCM</t>
  </si>
  <si>
    <t xml:space="preserve"> 3.4. Otras Transferencias</t>
  </si>
  <si>
    <t>4. Iniciativas de Inversión</t>
  </si>
  <si>
    <t xml:space="preserve">   4.1. Estudios Básicos</t>
  </si>
  <si>
    <t xml:space="preserve">   4.2. Proyectos</t>
  </si>
  <si>
    <t xml:space="preserve">   4.3. Programas de Inversión</t>
  </si>
  <si>
    <t>5. Otros  Gastos Municipales</t>
  </si>
  <si>
    <t xml:space="preserve">Deuda Flotante Municipal  </t>
  </si>
  <si>
    <t>RESULTADO</t>
  </si>
  <si>
    <t xml:space="preserve">Ingresos Percibidos menos Gastos Devengados </t>
  </si>
  <si>
    <t>Saldo Inicial de Caja</t>
  </si>
  <si>
    <t xml:space="preserve">Superávit (Déficit) Presupuestario  </t>
  </si>
  <si>
    <t xml:space="preserve">                INFORME  DE  INGRESOS PERCIBIDOS Y GASTOS DEVENGADOS MUNICIPAL </t>
  </si>
  <si>
    <t>Ilustre Municipalidad de</t>
  </si>
  <si>
    <t>RANCAGUA</t>
  </si>
  <si>
    <t>Provincia de</t>
  </si>
  <si>
    <t>CACHAPOAL</t>
  </si>
  <si>
    <t>Región</t>
  </si>
  <si>
    <t>GRAL. BDO. O'HIGGINS</t>
  </si>
  <si>
    <t>Código Territorial</t>
  </si>
  <si>
    <t>AÑO 2009</t>
  </si>
  <si>
    <t xml:space="preserve">AÑO 2010 </t>
  </si>
  <si>
    <t>AÑO 2011</t>
  </si>
  <si>
    <t>AÑO 2012</t>
  </si>
  <si>
    <t>AÑO 2013</t>
  </si>
  <si>
    <t>AÑO 2014</t>
  </si>
  <si>
    <t>M$</t>
  </si>
  <si>
    <t>al</t>
  </si>
  <si>
    <t>Gtos. Por Com. Y Rep. Manuel Villagra</t>
  </si>
  <si>
    <t>AÑO 2015</t>
  </si>
  <si>
    <t>Anticipo por retiro voluntario año 2014</t>
  </si>
  <si>
    <t>INTERESES MERCADO DE CAPITALES</t>
  </si>
  <si>
    <t>BALANCE DE EJECUCION PRESUPUESTARIA AÑO 2015</t>
  </si>
  <si>
    <t>Multas Leyes de Tránsito</t>
  </si>
  <si>
    <t>Otras Multas Beneficio Municipal</t>
  </si>
  <si>
    <t>051</t>
  </si>
  <si>
    <t>052</t>
  </si>
  <si>
    <t>053</t>
  </si>
  <si>
    <t>102</t>
  </si>
  <si>
    <t>1er J. P. L. Tránsito Empadronado</t>
  </si>
  <si>
    <t>1er J. P. L. Tránsito</t>
  </si>
  <si>
    <t>2do J. P. L. Tránsito Empadronado</t>
  </si>
  <si>
    <t>2do J. P. L. Tránsito</t>
  </si>
  <si>
    <t>1er J. P. L. Infracción Municipal</t>
  </si>
  <si>
    <t>1er J. P. L. Infracción Penal</t>
  </si>
  <si>
    <t>1er J. P. L. Multa Leyes Especiales</t>
  </si>
  <si>
    <t>2do J. P. L. Infracción Municipal</t>
  </si>
  <si>
    <t>2do J. P. L. Infracción Penal</t>
  </si>
  <si>
    <t>2do J. P. L. Multa Leyes Especiales</t>
  </si>
  <si>
    <t>Multa no declaración de Capital art. 52/3063</t>
  </si>
  <si>
    <t>Multas de Beneficio Fondo Común Municipal</t>
  </si>
  <si>
    <t>Empresa de Aseo Resolución N°88 Subdere</t>
  </si>
  <si>
    <t>Prog. Esterilaz. Y At. Sanitaria de animales</t>
  </si>
  <si>
    <t>Atención Primaria Ley N°19,378 art. 49</t>
  </si>
  <si>
    <t>I N G R E S O S   R E C A U D A D O S   A L   M E S   D E   S E P T I E M B R E    D E L   2 0 1 5</t>
  </si>
  <si>
    <t>G A S T O S   D E V E N G A D O S   A L   M E S   D E   S E P T I E M B R E    D E L   2 0 1 5</t>
  </si>
  <si>
    <t>R E S U M E N  D E  G A S T O S  D E V E N G A D O S  A  L  M E S  D E   S E P T I E M B R E    D E L  2 0 1 5</t>
  </si>
  <si>
    <t>R E S U M E N  D E  I N G R E S O S  R E C A U D A D O S  A L  M E S   D E   S E P T I E M B R E    D E L  2 0 1 5</t>
  </si>
  <si>
    <t xml:space="preserve">                                        AÑOS 2009 - 2010 - 2011 - 2012 - 2013 - 2014 - 2015 (al 30-09-2015)</t>
  </si>
  <si>
    <t>Asign. Cambio de Residencia Art. 97, letra c), Ley Nº18.883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</si>
</sst>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00\-00\-0000"/>
    <numFmt numFmtId="189" formatCode="#,##0.000"/>
  </numFmts>
  <fonts count="6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u val="single"/>
      <sz val="8"/>
      <name val="Arial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sz val="10"/>
      <name val="Trebuchet MS"/>
      <family val="2"/>
    </font>
    <font>
      <b/>
      <sz val="14"/>
      <name val="Trebuchet MS"/>
      <family val="2"/>
    </font>
    <font>
      <b/>
      <sz val="18"/>
      <name val="Trebuchet MS"/>
      <family val="2"/>
    </font>
    <font>
      <b/>
      <sz val="12"/>
      <name val="Trebuchet MS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rebuchet MS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4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 horizontal="right"/>
      <protection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49" fontId="6" fillId="0" borderId="11" xfId="0" applyNumberFormat="1" applyFont="1" applyFill="1" applyBorder="1" applyAlignment="1" applyProtection="1">
      <alignment horizontal="center"/>
      <protection/>
    </xf>
    <xf numFmtId="49" fontId="6" fillId="0" borderId="12" xfId="0" applyNumberFormat="1" applyFont="1" applyFill="1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49" fontId="8" fillId="0" borderId="13" xfId="0" applyNumberFormat="1" applyFont="1" applyFill="1" applyBorder="1" applyAlignment="1" applyProtection="1">
      <alignment horizontal="center"/>
      <protection/>
    </xf>
    <xf numFmtId="49" fontId="8" fillId="0" borderId="11" xfId="0" applyNumberFormat="1" applyFont="1" applyFill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left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3" xfId="0" applyNumberFormat="1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left"/>
      <protection/>
    </xf>
    <xf numFmtId="3" fontId="8" fillId="0" borderId="10" xfId="0" applyNumberFormat="1" applyFont="1" applyFill="1" applyBorder="1" applyAlignment="1" applyProtection="1">
      <alignment horizontal="right"/>
      <protection locked="0"/>
    </xf>
    <xf numFmtId="3" fontId="8" fillId="0" borderId="10" xfId="0" applyNumberFormat="1" applyFont="1" applyFill="1" applyBorder="1" applyAlignment="1" applyProtection="1">
      <alignment horizontal="right"/>
      <protection/>
    </xf>
    <xf numFmtId="3" fontId="13" fillId="0" borderId="10" xfId="0" applyNumberFormat="1" applyFont="1" applyFill="1" applyBorder="1" applyAlignment="1" applyProtection="1">
      <alignment horizontal="right"/>
      <protection/>
    </xf>
    <xf numFmtId="3" fontId="6" fillId="0" borderId="14" xfId="0" applyNumberFormat="1" applyFont="1" applyFill="1" applyBorder="1" applyAlignment="1" applyProtection="1">
      <alignment horizontal="right"/>
      <protection/>
    </xf>
    <xf numFmtId="3" fontId="6" fillId="0" borderId="15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5" xfId="0" applyNumberFormat="1" applyFont="1" applyFill="1" applyBorder="1" applyAlignment="1" applyProtection="1">
      <alignment horizontal="right"/>
      <protection/>
    </xf>
    <xf numFmtId="3" fontId="6" fillId="0" borderId="12" xfId="0" applyNumberFormat="1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left" wrapText="1"/>
      <protection/>
    </xf>
    <xf numFmtId="3" fontId="8" fillId="0" borderId="15" xfId="0" applyNumberFormat="1" applyFont="1" applyFill="1" applyBorder="1" applyAlignment="1" applyProtection="1">
      <alignment horizontal="right"/>
      <protection/>
    </xf>
    <xf numFmtId="3" fontId="8" fillId="0" borderId="12" xfId="0" applyNumberFormat="1" applyFont="1" applyFill="1" applyBorder="1" applyAlignment="1" applyProtection="1">
      <alignment horizontal="right"/>
      <protection/>
    </xf>
    <xf numFmtId="3" fontId="8" fillId="0" borderId="15" xfId="0" applyNumberFormat="1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3" fontId="13" fillId="0" borderId="17" xfId="0" applyNumberFormat="1" applyFont="1" applyFill="1" applyBorder="1" applyAlignment="1" applyProtection="1">
      <alignment horizontal="right"/>
      <protection/>
    </xf>
    <xf numFmtId="10" fontId="13" fillId="0" borderId="13" xfId="0" applyNumberFormat="1" applyFont="1" applyFill="1" applyBorder="1" applyAlignment="1" applyProtection="1">
      <alignment horizontal="right"/>
      <protection/>
    </xf>
    <xf numFmtId="10" fontId="13" fillId="0" borderId="18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1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49" fontId="13" fillId="0" borderId="13" xfId="0" applyNumberFormat="1" applyFont="1" applyFill="1" applyBorder="1" applyAlignment="1" applyProtection="1">
      <alignment horizontal="center"/>
      <protection/>
    </xf>
    <xf numFmtId="49" fontId="14" fillId="0" borderId="11" xfId="0" applyNumberFormat="1" applyFont="1" applyFill="1" applyBorder="1" applyAlignment="1" applyProtection="1">
      <alignment horizontal="center"/>
      <protection/>
    </xf>
    <xf numFmtId="49" fontId="14" fillId="0" borderId="12" xfId="0" applyNumberFormat="1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>
      <alignment/>
    </xf>
    <xf numFmtId="0" fontId="8" fillId="0" borderId="12" xfId="0" applyFont="1" applyFill="1" applyBorder="1" applyAlignment="1" applyProtection="1">
      <alignment horizontal="left" wrapText="1"/>
      <protection/>
    </xf>
    <xf numFmtId="49" fontId="13" fillId="0" borderId="10" xfId="0" applyNumberFormat="1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left"/>
      <protection/>
    </xf>
    <xf numFmtId="3" fontId="6" fillId="0" borderId="0" xfId="0" applyNumberFormat="1" applyFont="1" applyFill="1" applyAlignment="1">
      <alignment/>
    </xf>
    <xf numFmtId="2" fontId="6" fillId="0" borderId="15" xfId="0" applyNumberFormat="1" applyFont="1" applyFill="1" applyBorder="1" applyAlignment="1">
      <alignment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49" fontId="14" fillId="0" borderId="13" xfId="0" applyNumberFormat="1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/>
      <protection/>
    </xf>
    <xf numFmtId="49" fontId="6" fillId="0" borderId="16" xfId="0" applyNumberFormat="1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4" fontId="9" fillId="0" borderId="15" xfId="0" applyNumberFormat="1" applyFont="1" applyBorder="1" applyAlignment="1">
      <alignment/>
    </xf>
    <xf numFmtId="0" fontId="9" fillId="0" borderId="25" xfId="0" applyFont="1" applyBorder="1" applyAlignment="1" applyProtection="1">
      <alignment horizontal="left"/>
      <protection/>
    </xf>
    <xf numFmtId="49" fontId="16" fillId="33" borderId="10" xfId="0" applyNumberFormat="1" applyFont="1" applyFill="1" applyBorder="1" applyAlignment="1" applyProtection="1">
      <alignment horizontal="center"/>
      <protection/>
    </xf>
    <xf numFmtId="49" fontId="16" fillId="33" borderId="13" xfId="0" applyNumberFormat="1" applyFont="1" applyFill="1" applyBorder="1" applyAlignment="1" applyProtection="1">
      <alignment horizontal="center"/>
      <protection/>
    </xf>
    <xf numFmtId="49" fontId="16" fillId="33" borderId="12" xfId="0" applyNumberFormat="1" applyFont="1" applyFill="1" applyBorder="1" applyAlignment="1" applyProtection="1">
      <alignment horizontal="center"/>
      <protection/>
    </xf>
    <xf numFmtId="49" fontId="16" fillId="33" borderId="11" xfId="0" applyNumberFormat="1" applyFont="1" applyFill="1" applyBorder="1" applyAlignment="1" applyProtection="1">
      <alignment horizontal="center"/>
      <protection/>
    </xf>
    <xf numFmtId="0" fontId="16" fillId="33" borderId="10" xfId="0" applyFont="1" applyFill="1" applyBorder="1" applyAlignment="1" applyProtection="1">
      <alignment horizontal="left"/>
      <protection/>
    </xf>
    <xf numFmtId="49" fontId="9" fillId="34" borderId="10" xfId="0" applyNumberFormat="1" applyFont="1" applyFill="1" applyBorder="1" applyAlignment="1" applyProtection="1">
      <alignment horizontal="center"/>
      <protection/>
    </xf>
    <xf numFmtId="49" fontId="9" fillId="34" borderId="13" xfId="0" applyNumberFormat="1" applyFont="1" applyFill="1" applyBorder="1" applyAlignment="1" applyProtection="1">
      <alignment horizontal="center"/>
      <protection/>
    </xf>
    <xf numFmtId="49" fontId="9" fillId="34" borderId="12" xfId="0" applyNumberFormat="1" applyFont="1" applyFill="1" applyBorder="1" applyAlignment="1" applyProtection="1">
      <alignment horizontal="center"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left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9" fillId="0" borderId="13" xfId="0" applyNumberFormat="1" applyFont="1" applyBorder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left"/>
      <protection/>
    </xf>
    <xf numFmtId="49" fontId="15" fillId="0" borderId="13" xfId="0" applyNumberFormat="1" applyFont="1" applyBorder="1" applyAlignment="1" applyProtection="1">
      <alignment horizontal="center"/>
      <protection/>
    </xf>
    <xf numFmtId="49" fontId="15" fillId="0" borderId="11" xfId="0" applyNumberFormat="1" applyFont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left" wrapText="1"/>
      <protection/>
    </xf>
    <xf numFmtId="49" fontId="9" fillId="35" borderId="10" xfId="0" applyNumberFormat="1" applyFont="1" applyFill="1" applyBorder="1" applyAlignment="1" applyProtection="1">
      <alignment horizontal="center"/>
      <protection/>
    </xf>
    <xf numFmtId="49" fontId="9" fillId="35" borderId="13" xfId="0" applyNumberFormat="1" applyFont="1" applyFill="1" applyBorder="1" applyAlignment="1" applyProtection="1">
      <alignment horizontal="center"/>
      <protection/>
    </xf>
    <xf numFmtId="49" fontId="9" fillId="35" borderId="12" xfId="0" applyNumberFormat="1" applyFont="1" applyFill="1" applyBorder="1" applyAlignment="1" applyProtection="1">
      <alignment horizontal="center"/>
      <protection/>
    </xf>
    <xf numFmtId="49" fontId="15" fillId="35" borderId="13" xfId="0" applyNumberFormat="1" applyFont="1" applyFill="1" applyBorder="1" applyAlignment="1" applyProtection="1">
      <alignment horizontal="center"/>
      <protection/>
    </xf>
    <xf numFmtId="49" fontId="15" fillId="35" borderId="11" xfId="0" applyNumberFormat="1" applyFont="1" applyFill="1" applyBorder="1" applyAlignment="1" applyProtection="1">
      <alignment horizontal="center"/>
      <protection/>
    </xf>
    <xf numFmtId="0" fontId="15" fillId="35" borderId="10" xfId="0" applyFont="1" applyFill="1" applyBorder="1" applyAlignment="1" applyProtection="1">
      <alignment horizontal="left"/>
      <protection/>
    </xf>
    <xf numFmtId="49" fontId="15" fillId="0" borderId="13" xfId="0" applyNumberFormat="1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 applyProtection="1">
      <alignment horizontal="left" wrapText="1"/>
      <protection/>
    </xf>
    <xf numFmtId="49" fontId="9" fillId="0" borderId="10" xfId="0" applyNumberFormat="1" applyFont="1" applyFill="1" applyBorder="1" applyAlignment="1" applyProtection="1">
      <alignment horizontal="center"/>
      <protection/>
    </xf>
    <xf numFmtId="49" fontId="9" fillId="0" borderId="13" xfId="0" applyNumberFormat="1" applyFont="1" applyFill="1" applyBorder="1" applyAlignment="1" applyProtection="1">
      <alignment horizontal="center"/>
      <protection/>
    </xf>
    <xf numFmtId="49" fontId="9" fillId="0" borderId="12" xfId="0" applyNumberFormat="1" applyFont="1" applyFill="1" applyBorder="1" applyAlignment="1" applyProtection="1">
      <alignment horizontal="center"/>
      <protection/>
    </xf>
    <xf numFmtId="49" fontId="15" fillId="0" borderId="11" xfId="0" applyNumberFormat="1" applyFont="1" applyFill="1" applyBorder="1" applyAlignment="1" applyProtection="1">
      <alignment horizontal="center"/>
      <protection/>
    </xf>
    <xf numFmtId="49" fontId="15" fillId="0" borderId="12" xfId="0" applyNumberFormat="1" applyFont="1" applyBorder="1" applyAlignment="1" applyProtection="1">
      <alignment horizontal="center"/>
      <protection/>
    </xf>
    <xf numFmtId="49" fontId="15" fillId="35" borderId="12" xfId="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15" fillId="0" borderId="11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9" fillId="0" borderId="10" xfId="0" applyNumberFormat="1" applyFont="1" applyBorder="1" applyAlignment="1" applyProtection="1">
      <alignment horizontal="left" wrapText="1"/>
      <protection/>
    </xf>
    <xf numFmtId="49" fontId="16" fillId="0" borderId="13" xfId="0" applyNumberFormat="1" applyFont="1" applyBorder="1" applyAlignment="1" applyProtection="1">
      <alignment horizontal="center"/>
      <protection/>
    </xf>
    <xf numFmtId="49" fontId="16" fillId="0" borderId="11" xfId="0" applyNumberFormat="1" applyFont="1" applyBorder="1" applyAlignment="1" applyProtection="1">
      <alignment horizontal="center"/>
      <protection/>
    </xf>
    <xf numFmtId="49" fontId="9" fillId="34" borderId="10" xfId="0" applyNumberFormat="1" applyFont="1" applyFill="1" applyBorder="1" applyAlignment="1" applyProtection="1">
      <alignment horizontal="left"/>
      <protection/>
    </xf>
    <xf numFmtId="49" fontId="9" fillId="0" borderId="10" xfId="0" applyNumberFormat="1" applyFont="1" applyBorder="1" applyAlignment="1" applyProtection="1">
      <alignment horizontal="left"/>
      <protection/>
    </xf>
    <xf numFmtId="49" fontId="17" fillId="0" borderId="13" xfId="0" applyNumberFormat="1" applyFont="1" applyBorder="1" applyAlignment="1" applyProtection="1">
      <alignment horizontal="center"/>
      <protection/>
    </xf>
    <xf numFmtId="49" fontId="17" fillId="0" borderId="11" xfId="0" applyNumberFormat="1" applyFont="1" applyBorder="1" applyAlignment="1" applyProtection="1">
      <alignment horizontal="center"/>
      <protection/>
    </xf>
    <xf numFmtId="0" fontId="15" fillId="0" borderId="13" xfId="0" applyFont="1" applyBorder="1" applyAlignment="1" applyProtection="1">
      <alignment/>
      <protection/>
    </xf>
    <xf numFmtId="49" fontId="16" fillId="34" borderId="12" xfId="0" applyNumberFormat="1" applyFont="1" applyFill="1" applyBorder="1" applyAlignment="1" applyProtection="1">
      <alignment horizontal="center"/>
      <protection/>
    </xf>
    <xf numFmtId="49" fontId="16" fillId="34" borderId="13" xfId="0" applyNumberFormat="1" applyFont="1" applyFill="1" applyBorder="1" applyAlignment="1" applyProtection="1">
      <alignment horizontal="center"/>
      <protection/>
    </xf>
    <xf numFmtId="49" fontId="16" fillId="34" borderId="11" xfId="0" applyNumberFormat="1" applyFont="1" applyFill="1" applyBorder="1" applyAlignment="1" applyProtection="1">
      <alignment horizontal="center"/>
      <protection/>
    </xf>
    <xf numFmtId="0" fontId="9" fillId="34" borderId="13" xfId="0" applyFont="1" applyFill="1" applyBorder="1" applyAlignment="1" applyProtection="1">
      <alignment horizontal="center"/>
      <protection/>
    </xf>
    <xf numFmtId="0" fontId="9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0" xfId="0" applyNumberFormat="1" applyFont="1" applyFill="1" applyBorder="1" applyAlignment="1" applyProtection="1">
      <alignment horizontal="center" vertical="top"/>
      <protection/>
    </xf>
    <xf numFmtId="0" fontId="9" fillId="34" borderId="13" xfId="0" applyFont="1" applyFill="1" applyBorder="1" applyAlignment="1" applyProtection="1">
      <alignment horizontal="center" vertical="top"/>
      <protection/>
    </xf>
    <xf numFmtId="0" fontId="9" fillId="34" borderId="10" xfId="0" applyFont="1" applyFill="1" applyBorder="1" applyAlignment="1" applyProtection="1">
      <alignment horizontal="left" wrapText="1"/>
      <protection/>
    </xf>
    <xf numFmtId="0" fontId="9" fillId="0" borderId="10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16" fillId="33" borderId="13" xfId="0" applyFont="1" applyFill="1" applyBorder="1" applyAlignment="1" applyProtection="1">
      <alignment/>
      <protection/>
    </xf>
    <xf numFmtId="0" fontId="16" fillId="33" borderId="12" xfId="0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/>
      <protection/>
    </xf>
    <xf numFmtId="0" fontId="9" fillId="34" borderId="10" xfId="0" applyFont="1" applyFill="1" applyBorder="1" applyAlignment="1" applyProtection="1">
      <alignment horizontal="center"/>
      <protection/>
    </xf>
    <xf numFmtId="188" fontId="9" fillId="0" borderId="13" xfId="0" applyNumberFormat="1" applyFont="1" applyBorder="1" applyAlignment="1" applyProtection="1">
      <alignment/>
      <protection/>
    </xf>
    <xf numFmtId="0" fontId="16" fillId="33" borderId="10" xfId="0" applyFont="1" applyFill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0" fontId="15" fillId="0" borderId="11" xfId="0" applyFont="1" applyFill="1" applyBorder="1" applyAlignment="1" applyProtection="1">
      <alignment/>
      <protection/>
    </xf>
    <xf numFmtId="0" fontId="16" fillId="33" borderId="16" xfId="0" applyFont="1" applyFill="1" applyBorder="1" applyAlignment="1" applyProtection="1">
      <alignment/>
      <protection/>
    </xf>
    <xf numFmtId="0" fontId="16" fillId="33" borderId="26" xfId="0" applyFont="1" applyFill="1" applyBorder="1" applyAlignment="1" applyProtection="1">
      <alignment/>
      <protection/>
    </xf>
    <xf numFmtId="49" fontId="9" fillId="34" borderId="27" xfId="0" applyNumberFormat="1" applyFont="1" applyFill="1" applyBorder="1" applyAlignment="1" applyProtection="1">
      <alignment horizontal="center"/>
      <protection/>
    </xf>
    <xf numFmtId="49" fontId="9" fillId="34" borderId="16" xfId="0" applyNumberFormat="1" applyFont="1" applyFill="1" applyBorder="1" applyAlignment="1" applyProtection="1">
      <alignment horizontal="center"/>
      <protection/>
    </xf>
    <xf numFmtId="0" fontId="15" fillId="34" borderId="13" xfId="0" applyFont="1" applyFill="1" applyBorder="1" applyAlignment="1" applyProtection="1">
      <alignment/>
      <protection/>
    </xf>
    <xf numFmtId="0" fontId="15" fillId="34" borderId="11" xfId="0" applyFont="1" applyFill="1" applyBorder="1" applyAlignment="1" applyProtection="1">
      <alignment/>
      <protection/>
    </xf>
    <xf numFmtId="49" fontId="9" fillId="0" borderId="12" xfId="0" applyNumberFormat="1" applyFont="1" applyBorder="1" applyAlignment="1" applyProtection="1">
      <alignment horizontal="left"/>
      <protection/>
    </xf>
    <xf numFmtId="0" fontId="15" fillId="0" borderId="16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16" fillId="0" borderId="28" xfId="0" applyFont="1" applyBorder="1" applyAlignment="1" applyProtection="1">
      <alignment/>
      <protection/>
    </xf>
    <xf numFmtId="0" fontId="16" fillId="0" borderId="29" xfId="0" applyFont="1" applyBorder="1" applyAlignment="1" applyProtection="1">
      <alignment/>
      <protection/>
    </xf>
    <xf numFmtId="0" fontId="16" fillId="0" borderId="30" xfId="0" applyFont="1" applyBorder="1" applyAlignment="1" applyProtection="1">
      <alignment/>
      <protection/>
    </xf>
    <xf numFmtId="0" fontId="16" fillId="0" borderId="31" xfId="0" applyFont="1" applyBorder="1" applyAlignment="1" applyProtection="1">
      <alignment/>
      <protection/>
    </xf>
    <xf numFmtId="0" fontId="16" fillId="0" borderId="28" xfId="0" applyFont="1" applyBorder="1" applyAlignment="1" applyProtection="1">
      <alignment horizontal="left"/>
      <protection/>
    </xf>
    <xf numFmtId="10" fontId="13" fillId="0" borderId="15" xfId="0" applyNumberFormat="1" applyFont="1" applyFill="1" applyBorder="1" applyAlignment="1" applyProtection="1">
      <alignment horizontal="right"/>
      <protection/>
    </xf>
    <xf numFmtId="49" fontId="13" fillId="36" borderId="10" xfId="0" applyNumberFormat="1" applyFont="1" applyFill="1" applyBorder="1" applyAlignment="1" applyProtection="1">
      <alignment horizontal="center"/>
      <protection/>
    </xf>
    <xf numFmtId="49" fontId="13" fillId="36" borderId="13" xfId="0" applyNumberFormat="1" applyFont="1" applyFill="1" applyBorder="1" applyAlignment="1" applyProtection="1">
      <alignment horizontal="center"/>
      <protection/>
    </xf>
    <xf numFmtId="49" fontId="14" fillId="36" borderId="11" xfId="0" applyNumberFormat="1" applyFont="1" applyFill="1" applyBorder="1" applyAlignment="1" applyProtection="1">
      <alignment horizontal="center"/>
      <protection/>
    </xf>
    <xf numFmtId="49" fontId="14" fillId="36" borderId="12" xfId="0" applyNumberFormat="1" applyFont="1" applyFill="1" applyBorder="1" applyAlignment="1" applyProtection="1">
      <alignment horizontal="center"/>
      <protection/>
    </xf>
    <xf numFmtId="0" fontId="13" fillId="36" borderId="12" xfId="0" applyFont="1" applyFill="1" applyBorder="1" applyAlignment="1" applyProtection="1">
      <alignment horizontal="left"/>
      <protection/>
    </xf>
    <xf numFmtId="3" fontId="13" fillId="36" borderId="10" xfId="0" applyNumberFormat="1" applyFont="1" applyFill="1" applyBorder="1" applyAlignment="1" applyProtection="1">
      <alignment horizontal="right"/>
      <protection locked="0"/>
    </xf>
    <xf numFmtId="3" fontId="13" fillId="36" borderId="10" xfId="0" applyNumberFormat="1" applyFont="1" applyFill="1" applyBorder="1" applyAlignment="1" applyProtection="1">
      <alignment horizontal="right"/>
      <protection/>
    </xf>
    <xf numFmtId="10" fontId="13" fillId="36" borderId="13" xfId="0" applyNumberFormat="1" applyFont="1" applyFill="1" applyBorder="1" applyAlignment="1" applyProtection="1">
      <alignment horizontal="right"/>
      <protection/>
    </xf>
    <xf numFmtId="49" fontId="13" fillId="36" borderId="10" xfId="0" applyNumberFormat="1" applyFont="1" applyFill="1" applyBorder="1" applyAlignment="1" applyProtection="1">
      <alignment horizontal="center" vertical="top"/>
      <protection/>
    </xf>
    <xf numFmtId="0" fontId="13" fillId="36" borderId="12" xfId="0" applyNumberFormat="1" applyFont="1" applyFill="1" applyBorder="1" applyAlignment="1" applyProtection="1">
      <alignment horizontal="left" vertical="top" wrapText="1"/>
      <protection/>
    </xf>
    <xf numFmtId="3" fontId="13" fillId="36" borderId="32" xfId="0" applyNumberFormat="1" applyFont="1" applyFill="1" applyBorder="1" applyAlignment="1" applyProtection="1">
      <alignment horizontal="right"/>
      <protection/>
    </xf>
    <xf numFmtId="10" fontId="13" fillId="36" borderId="33" xfId="0" applyNumberFormat="1" applyFont="1" applyFill="1" applyBorder="1" applyAlignment="1" applyProtection="1">
      <alignment horizontal="right"/>
      <protection/>
    </xf>
    <xf numFmtId="3" fontId="8" fillId="36" borderId="10" xfId="0" applyNumberFormat="1" applyFont="1" applyFill="1" applyBorder="1" applyAlignment="1" applyProtection="1">
      <alignment horizontal="right"/>
      <protection/>
    </xf>
    <xf numFmtId="49" fontId="8" fillId="37" borderId="27" xfId="0" applyNumberFormat="1" applyFont="1" applyFill="1" applyBorder="1" applyAlignment="1" applyProtection="1">
      <alignment horizontal="center" vertical="top" textRotation="90"/>
      <protection/>
    </xf>
    <xf numFmtId="49" fontId="8" fillId="37" borderId="22" xfId="0" applyNumberFormat="1" applyFont="1" applyFill="1" applyBorder="1" applyAlignment="1" applyProtection="1">
      <alignment horizontal="center" vertical="top" textRotation="90"/>
      <protection/>
    </xf>
    <xf numFmtId="0" fontId="8" fillId="37" borderId="27" xfId="0" applyFont="1" applyFill="1" applyBorder="1" applyAlignment="1" applyProtection="1">
      <alignment horizontal="center" vertical="center"/>
      <protection/>
    </xf>
    <xf numFmtId="49" fontId="8" fillId="37" borderId="21" xfId="0" applyNumberFormat="1" applyFont="1" applyFill="1" applyBorder="1" applyAlignment="1" applyProtection="1">
      <alignment horizontal="center" vertical="center" wrapText="1"/>
      <protection/>
    </xf>
    <xf numFmtId="49" fontId="8" fillId="37" borderId="27" xfId="0" applyNumberFormat="1" applyFont="1" applyFill="1" applyBorder="1" applyAlignment="1" applyProtection="1">
      <alignment horizontal="center" vertical="center" wrapText="1"/>
      <protection/>
    </xf>
    <xf numFmtId="49" fontId="8" fillId="37" borderId="34" xfId="0" applyNumberFormat="1" applyFont="1" applyFill="1" applyBorder="1" applyAlignment="1" applyProtection="1">
      <alignment horizontal="center" vertical="center" wrapText="1"/>
      <protection/>
    </xf>
    <xf numFmtId="2" fontId="6" fillId="36" borderId="35" xfId="0" applyNumberFormat="1" applyFont="1" applyFill="1" applyBorder="1" applyAlignment="1">
      <alignment/>
    </xf>
    <xf numFmtId="2" fontId="6" fillId="36" borderId="15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49" fontId="16" fillId="38" borderId="10" xfId="0" applyNumberFormat="1" applyFont="1" applyFill="1" applyBorder="1" applyAlignment="1" applyProtection="1">
      <alignment horizontal="center" vertical="top"/>
      <protection/>
    </xf>
    <xf numFmtId="49" fontId="16" fillId="38" borderId="13" xfId="0" applyNumberFormat="1" applyFont="1" applyFill="1" applyBorder="1" applyAlignment="1" applyProtection="1">
      <alignment horizontal="center"/>
      <protection/>
    </xf>
    <xf numFmtId="49" fontId="17" fillId="38" borderId="11" xfId="0" applyNumberFormat="1" applyFont="1" applyFill="1" applyBorder="1" applyAlignment="1" applyProtection="1">
      <alignment horizontal="center"/>
      <protection/>
    </xf>
    <xf numFmtId="0" fontId="16" fillId="38" borderId="12" xfId="0" applyNumberFormat="1" applyFont="1" applyFill="1" applyBorder="1" applyAlignment="1" applyProtection="1">
      <alignment horizontal="left" vertical="top" wrapText="1"/>
      <protection/>
    </xf>
    <xf numFmtId="4" fontId="16" fillId="38" borderId="18" xfId="0" applyNumberFormat="1" applyFont="1" applyFill="1" applyBorder="1" applyAlignment="1" applyProtection="1">
      <alignment horizontal="right"/>
      <protection/>
    </xf>
    <xf numFmtId="49" fontId="15" fillId="34" borderId="11" xfId="0" applyNumberFormat="1" applyFont="1" applyFill="1" applyBorder="1" applyAlignment="1" applyProtection="1">
      <alignment horizontal="center"/>
      <protection/>
    </xf>
    <xf numFmtId="0" fontId="9" fillId="34" borderId="12" xfId="0" applyFont="1" applyFill="1" applyBorder="1" applyAlignment="1" applyProtection="1">
      <alignment horizontal="left"/>
      <protection/>
    </xf>
    <xf numFmtId="4" fontId="15" fillId="34" borderId="15" xfId="0" applyNumberFormat="1" applyFont="1" applyFill="1" applyBorder="1" applyAlignment="1">
      <alignment/>
    </xf>
    <xf numFmtId="0" fontId="9" fillId="0" borderId="12" xfId="0" applyFont="1" applyBorder="1" applyAlignment="1" applyProtection="1">
      <alignment horizontal="left"/>
      <protection/>
    </xf>
    <xf numFmtId="4" fontId="15" fillId="0" borderId="15" xfId="0" applyNumberFormat="1" applyFont="1" applyBorder="1" applyAlignment="1">
      <alignment/>
    </xf>
    <xf numFmtId="49" fontId="15" fillId="0" borderId="10" xfId="0" applyNumberFormat="1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left"/>
      <protection/>
    </xf>
    <xf numFmtId="0" fontId="9" fillId="34" borderId="12" xfId="0" applyFont="1" applyFill="1" applyBorder="1" applyAlignment="1" applyProtection="1">
      <alignment horizontal="left" wrapText="1"/>
      <protection/>
    </xf>
    <xf numFmtId="49" fontId="16" fillId="38" borderId="10" xfId="0" applyNumberFormat="1" applyFont="1" applyFill="1" applyBorder="1" applyAlignment="1" applyProtection="1">
      <alignment horizontal="center"/>
      <protection/>
    </xf>
    <xf numFmtId="0" fontId="16" fillId="38" borderId="12" xfId="0" applyFont="1" applyFill="1" applyBorder="1" applyAlignment="1" applyProtection="1">
      <alignment horizontal="left"/>
      <protection/>
    </xf>
    <xf numFmtId="4" fontId="15" fillId="38" borderId="15" xfId="0" applyNumberFormat="1" applyFont="1" applyFill="1" applyBorder="1" applyAlignment="1">
      <alignment/>
    </xf>
    <xf numFmtId="0" fontId="9" fillId="0" borderId="12" xfId="0" applyFont="1" applyFill="1" applyBorder="1" applyAlignment="1" applyProtection="1">
      <alignment horizontal="left"/>
      <protection/>
    </xf>
    <xf numFmtId="49" fontId="15" fillId="0" borderId="10" xfId="0" applyNumberFormat="1" applyFont="1" applyFill="1" applyBorder="1" applyAlignment="1" applyProtection="1">
      <alignment horizontal="center"/>
      <protection/>
    </xf>
    <xf numFmtId="0" fontId="15" fillId="0" borderId="12" xfId="0" applyFont="1" applyFill="1" applyBorder="1" applyAlignment="1" applyProtection="1">
      <alignment horizontal="left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left"/>
      <protection/>
    </xf>
    <xf numFmtId="49" fontId="15" fillId="0" borderId="36" xfId="0" applyNumberFormat="1" applyFont="1" applyBorder="1" applyAlignment="1" applyProtection="1">
      <alignment horizontal="center"/>
      <protection/>
    </xf>
    <xf numFmtId="49" fontId="15" fillId="0" borderId="37" xfId="0" applyNumberFormat="1" applyFont="1" applyBorder="1" applyAlignment="1" applyProtection="1">
      <alignment horizontal="center"/>
      <protection/>
    </xf>
    <xf numFmtId="49" fontId="15" fillId="0" borderId="38" xfId="0" applyNumberFormat="1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left"/>
      <protection/>
    </xf>
    <xf numFmtId="3" fontId="6" fillId="0" borderId="0" xfId="0" applyNumberFormat="1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18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left" wrapText="1"/>
      <protection/>
    </xf>
    <xf numFmtId="0" fontId="19" fillId="0" borderId="0" xfId="0" applyFont="1" applyAlignment="1" applyProtection="1">
      <alignment horizontal="left"/>
      <protection/>
    </xf>
    <xf numFmtId="3" fontId="13" fillId="38" borderId="10" xfId="0" applyNumberFormat="1" applyFont="1" applyFill="1" applyBorder="1" applyAlignment="1" applyProtection="1">
      <alignment horizontal="right"/>
      <protection/>
    </xf>
    <xf numFmtId="3" fontId="13" fillId="38" borderId="33" xfId="0" applyNumberFormat="1" applyFont="1" applyFill="1" applyBorder="1" applyAlignment="1" applyProtection="1">
      <alignment horizontal="right"/>
      <protection/>
    </xf>
    <xf numFmtId="3" fontId="8" fillId="34" borderId="10" xfId="0" applyNumberFormat="1" applyFont="1" applyFill="1" applyBorder="1" applyAlignment="1" applyProtection="1">
      <alignment horizontal="right"/>
      <protection/>
    </xf>
    <xf numFmtId="3" fontId="6" fillId="0" borderId="13" xfId="0" applyNumberFormat="1" applyFont="1" applyFill="1" applyBorder="1" applyAlignment="1" applyProtection="1">
      <alignment horizontal="right"/>
      <protection/>
    </xf>
    <xf numFmtId="3" fontId="8" fillId="34" borderId="13" xfId="0" applyNumberFormat="1" applyFont="1" applyFill="1" applyBorder="1" applyAlignment="1" applyProtection="1">
      <alignment horizontal="right"/>
      <protection/>
    </xf>
    <xf numFmtId="3" fontId="8" fillId="34" borderId="10" xfId="0" applyNumberFormat="1" applyFont="1" applyFill="1" applyBorder="1" applyAlignment="1" applyProtection="1">
      <alignment horizontal="right"/>
      <protection locked="0"/>
    </xf>
    <xf numFmtId="3" fontId="13" fillId="38" borderId="13" xfId="0" applyNumberFormat="1" applyFont="1" applyFill="1" applyBorder="1" applyAlignment="1" applyProtection="1">
      <alignment horizontal="right"/>
      <protection/>
    </xf>
    <xf numFmtId="3" fontId="6" fillId="34" borderId="10" xfId="0" applyNumberFormat="1" applyFont="1" applyFill="1" applyBorder="1" applyAlignment="1" applyProtection="1">
      <alignment horizontal="right"/>
      <protection locked="0"/>
    </xf>
    <xf numFmtId="3" fontId="6" fillId="34" borderId="13" xfId="0" applyNumberFormat="1" applyFont="1" applyFill="1" applyBorder="1" applyAlignment="1" applyProtection="1">
      <alignment horizontal="right"/>
      <protection/>
    </xf>
    <xf numFmtId="3" fontId="8" fillId="0" borderId="13" xfId="0" applyNumberFormat="1" applyFont="1" applyFill="1" applyBorder="1" applyAlignment="1" applyProtection="1">
      <alignment horizontal="right"/>
      <protection/>
    </xf>
    <xf numFmtId="3" fontId="13" fillId="38" borderId="10" xfId="0" applyNumberFormat="1" applyFont="1" applyFill="1" applyBorder="1" applyAlignment="1" applyProtection="1">
      <alignment horizontal="right"/>
      <protection locked="0"/>
    </xf>
    <xf numFmtId="3" fontId="13" fillId="0" borderId="13" xfId="0" applyNumberFormat="1" applyFont="1" applyFill="1" applyBorder="1" applyAlignment="1" applyProtection="1">
      <alignment horizontal="right"/>
      <protection/>
    </xf>
    <xf numFmtId="3" fontId="6" fillId="0" borderId="28" xfId="0" applyNumberFormat="1" applyFont="1" applyFill="1" applyBorder="1" applyAlignment="1" applyProtection="1">
      <alignment horizontal="right"/>
      <protection/>
    </xf>
    <xf numFmtId="3" fontId="6" fillId="0" borderId="29" xfId="0" applyNumberFormat="1" applyFont="1" applyFill="1" applyBorder="1" applyAlignment="1" applyProtection="1">
      <alignment horizontal="right"/>
      <protection/>
    </xf>
    <xf numFmtId="3" fontId="13" fillId="33" borderId="35" xfId="0" applyNumberFormat="1" applyFont="1" applyFill="1" applyBorder="1" applyAlignment="1" applyProtection="1">
      <alignment horizontal="right"/>
      <protection/>
    </xf>
    <xf numFmtId="3" fontId="13" fillId="33" borderId="15" xfId="0" applyNumberFormat="1" applyFont="1" applyFill="1" applyBorder="1" applyAlignment="1" applyProtection="1">
      <alignment horizontal="right"/>
      <protection/>
    </xf>
    <xf numFmtId="3" fontId="13" fillId="33" borderId="40" xfId="0" applyNumberFormat="1" applyFont="1" applyFill="1" applyBorder="1" applyAlignment="1" applyProtection="1">
      <alignment horizontal="right"/>
      <protection/>
    </xf>
    <xf numFmtId="3" fontId="13" fillId="33" borderId="41" xfId="0" applyNumberFormat="1" applyFont="1" applyFill="1" applyBorder="1" applyAlignment="1" applyProtection="1">
      <alignment horizontal="right"/>
      <protection/>
    </xf>
    <xf numFmtId="4" fontId="8" fillId="33" borderId="34" xfId="0" applyNumberFormat="1" applyFont="1" applyFill="1" applyBorder="1" applyAlignment="1">
      <alignment/>
    </xf>
    <xf numFmtId="3" fontId="8" fillId="34" borderId="15" xfId="0" applyNumberFormat="1" applyFont="1" applyFill="1" applyBorder="1" applyAlignment="1" applyProtection="1">
      <alignment horizontal="right"/>
      <protection/>
    </xf>
    <xf numFmtId="3" fontId="8" fillId="34" borderId="11" xfId="0" applyNumberFormat="1" applyFont="1" applyFill="1" applyBorder="1" applyAlignment="1" applyProtection="1">
      <alignment horizontal="right"/>
      <protection/>
    </xf>
    <xf numFmtId="3" fontId="8" fillId="34" borderId="12" xfId="0" applyNumberFormat="1" applyFont="1" applyFill="1" applyBorder="1" applyAlignment="1" applyProtection="1">
      <alignment horizontal="right"/>
      <protection/>
    </xf>
    <xf numFmtId="3" fontId="8" fillId="34" borderId="14" xfId="0" applyNumberFormat="1" applyFont="1" applyFill="1" applyBorder="1" applyAlignment="1" applyProtection="1">
      <alignment horizontal="right"/>
      <protection/>
    </xf>
    <xf numFmtId="4" fontId="8" fillId="34" borderId="15" xfId="0" applyNumberFormat="1" applyFont="1" applyFill="1" applyBorder="1" applyAlignment="1">
      <alignment/>
    </xf>
    <xf numFmtId="3" fontId="6" fillId="0" borderId="11" xfId="0" applyNumberFormat="1" applyFont="1" applyFill="1" applyBorder="1" applyAlignment="1" applyProtection="1">
      <alignment horizontal="right"/>
      <protection/>
    </xf>
    <xf numFmtId="4" fontId="8" fillId="0" borderId="15" xfId="0" applyNumberFormat="1" applyFont="1" applyBorder="1" applyAlignment="1">
      <alignment/>
    </xf>
    <xf numFmtId="3" fontId="6" fillId="0" borderId="11" xfId="0" applyNumberFormat="1" applyFont="1" applyFill="1" applyBorder="1" applyAlignment="1" applyProtection="1">
      <alignment horizontal="right"/>
      <protection locked="0"/>
    </xf>
    <xf numFmtId="4" fontId="8" fillId="0" borderId="18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3" fontId="13" fillId="33" borderId="12" xfId="0" applyNumberFormat="1" applyFont="1" applyFill="1" applyBorder="1" applyAlignment="1" applyProtection="1">
      <alignment horizontal="right"/>
      <protection/>
    </xf>
    <xf numFmtId="4" fontId="8" fillId="33" borderId="15" xfId="0" applyNumberFormat="1" applyFont="1" applyFill="1" applyBorder="1" applyAlignment="1">
      <alignment/>
    </xf>
    <xf numFmtId="3" fontId="8" fillId="34" borderId="15" xfId="0" applyNumberFormat="1" applyFont="1" applyFill="1" applyBorder="1" applyAlignment="1" applyProtection="1">
      <alignment horizontal="right"/>
      <protection locked="0"/>
    </xf>
    <xf numFmtId="3" fontId="6" fillId="34" borderId="15" xfId="0" applyNumberFormat="1" applyFont="1" applyFill="1" applyBorder="1" applyAlignment="1" applyProtection="1">
      <alignment horizontal="right"/>
      <protection locked="0"/>
    </xf>
    <xf numFmtId="3" fontId="8" fillId="34" borderId="12" xfId="0" applyNumberFormat="1" applyFont="1" applyFill="1" applyBorder="1" applyAlignment="1" applyProtection="1">
      <alignment horizontal="right"/>
      <protection locked="0"/>
    </xf>
    <xf numFmtId="3" fontId="6" fillId="34" borderId="12" xfId="0" applyNumberFormat="1" applyFont="1" applyFill="1" applyBorder="1" applyAlignment="1" applyProtection="1">
      <alignment horizontal="right"/>
      <protection locked="0"/>
    </xf>
    <xf numFmtId="3" fontId="13" fillId="33" borderId="15" xfId="0" applyNumberFormat="1" applyFont="1" applyFill="1" applyBorder="1" applyAlignment="1" applyProtection="1">
      <alignment horizontal="right"/>
      <protection locked="0"/>
    </xf>
    <xf numFmtId="3" fontId="13" fillId="33" borderId="12" xfId="0" applyNumberFormat="1" applyFont="1" applyFill="1" applyBorder="1" applyAlignment="1" applyProtection="1">
      <alignment horizontal="right"/>
      <protection locked="0"/>
    </xf>
    <xf numFmtId="3" fontId="13" fillId="0" borderId="3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8" fillId="19" borderId="10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left" wrapText="1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/>
      <protection/>
    </xf>
    <xf numFmtId="49" fontId="6" fillId="0" borderId="12" xfId="0" applyNumberFormat="1" applyFont="1" applyFill="1" applyBorder="1" applyAlignment="1" applyProtection="1">
      <alignment horizontal="left"/>
      <protection/>
    </xf>
    <xf numFmtId="0" fontId="20" fillId="0" borderId="0" xfId="0" applyFont="1" applyFill="1" applyAlignment="1">
      <alignment/>
    </xf>
    <xf numFmtId="49" fontId="14" fillId="36" borderId="10" xfId="0" applyNumberFormat="1" applyFont="1" applyFill="1" applyBorder="1" applyAlignment="1" applyProtection="1">
      <alignment horizontal="center"/>
      <protection/>
    </xf>
    <xf numFmtId="49" fontId="14" fillId="36" borderId="13" xfId="0" applyNumberFormat="1" applyFont="1" applyFill="1" applyBorder="1" applyAlignment="1" applyProtection="1">
      <alignment horizontal="center"/>
      <protection/>
    </xf>
    <xf numFmtId="0" fontId="14" fillId="36" borderId="10" xfId="0" applyFont="1" applyFill="1" applyBorder="1" applyAlignment="1" applyProtection="1">
      <alignment horizontal="left"/>
      <protection/>
    </xf>
    <xf numFmtId="3" fontId="14" fillId="36" borderId="25" xfId="0" applyNumberFormat="1" applyFont="1" applyFill="1" applyBorder="1" applyAlignment="1" applyProtection="1">
      <alignment horizontal="right"/>
      <protection/>
    </xf>
    <xf numFmtId="3" fontId="14" fillId="36" borderId="35" xfId="0" applyNumberFormat="1" applyFont="1" applyFill="1" applyBorder="1" applyAlignment="1" applyProtection="1">
      <alignment horizontal="right"/>
      <protection/>
    </xf>
    <xf numFmtId="3" fontId="14" fillId="36" borderId="42" xfId="0" applyNumberFormat="1" applyFont="1" applyFill="1" applyBorder="1" applyAlignment="1" applyProtection="1">
      <alignment horizontal="right"/>
      <protection/>
    </xf>
    <xf numFmtId="3" fontId="14" fillId="36" borderId="32" xfId="0" applyNumberFormat="1" applyFont="1" applyFill="1" applyBorder="1" applyAlignment="1" applyProtection="1">
      <alignment horizontal="right"/>
      <protection/>
    </xf>
    <xf numFmtId="3" fontId="14" fillId="36" borderId="10" xfId="0" applyNumberFormat="1" applyFont="1" applyFill="1" applyBorder="1" applyAlignment="1" applyProtection="1">
      <alignment horizontal="right"/>
      <protection/>
    </xf>
    <xf numFmtId="3" fontId="14" fillId="36" borderId="15" xfId="0" applyNumberFormat="1" applyFont="1" applyFill="1" applyBorder="1" applyAlignment="1" applyProtection="1">
      <alignment horizontal="right"/>
      <protection/>
    </xf>
    <xf numFmtId="3" fontId="14" fillId="36" borderId="12" xfId="0" applyNumberFormat="1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/>
      <protection/>
    </xf>
    <xf numFmtId="0" fontId="14" fillId="36" borderId="13" xfId="0" applyFont="1" applyFill="1" applyBorder="1" applyAlignment="1" applyProtection="1">
      <alignment/>
      <protection/>
    </xf>
    <xf numFmtId="0" fontId="14" fillId="36" borderId="12" xfId="0" applyFont="1" applyFill="1" applyBorder="1" applyAlignment="1" applyProtection="1">
      <alignment/>
      <protection/>
    </xf>
    <xf numFmtId="0" fontId="14" fillId="36" borderId="11" xfId="0" applyFont="1" applyFill="1" applyBorder="1" applyAlignment="1" applyProtection="1">
      <alignment/>
      <protection/>
    </xf>
    <xf numFmtId="188" fontId="6" fillId="0" borderId="13" xfId="0" applyNumberFormat="1" applyFont="1" applyFill="1" applyBorder="1" applyAlignment="1" applyProtection="1">
      <alignment/>
      <protection/>
    </xf>
    <xf numFmtId="0" fontId="14" fillId="36" borderId="10" xfId="0" applyFont="1" applyFill="1" applyBorder="1" applyAlignment="1" applyProtection="1">
      <alignment horizontal="center"/>
      <protection/>
    </xf>
    <xf numFmtId="0" fontId="14" fillId="36" borderId="16" xfId="0" applyFont="1" applyFill="1" applyBorder="1" applyAlignment="1" applyProtection="1">
      <alignment/>
      <protection/>
    </xf>
    <xf numFmtId="0" fontId="14" fillId="36" borderId="26" xfId="0" applyFont="1" applyFill="1" applyBorder="1" applyAlignment="1" applyProtection="1">
      <alignment/>
      <protection/>
    </xf>
    <xf numFmtId="3" fontId="14" fillId="36" borderId="10" xfId="0" applyNumberFormat="1" applyFont="1" applyFill="1" applyBorder="1" applyAlignment="1" applyProtection="1">
      <alignment horizontal="right"/>
      <protection locked="0"/>
    </xf>
    <xf numFmtId="3" fontId="14" fillId="36" borderId="15" xfId="0" applyNumberFormat="1" applyFont="1" applyFill="1" applyBorder="1" applyAlignment="1" applyProtection="1">
      <alignment horizontal="right"/>
      <protection locked="0"/>
    </xf>
    <xf numFmtId="3" fontId="14" fillId="36" borderId="12" xfId="0" applyNumberFormat="1" applyFont="1" applyFill="1" applyBorder="1" applyAlignment="1" applyProtection="1">
      <alignment horizontal="right"/>
      <protection locked="0"/>
    </xf>
    <xf numFmtId="0" fontId="14" fillId="0" borderId="28" xfId="0" applyFont="1" applyFill="1" applyBorder="1" applyAlignment="1" applyProtection="1">
      <alignment/>
      <protection/>
    </xf>
    <xf numFmtId="0" fontId="14" fillId="0" borderId="29" xfId="0" applyFont="1" applyFill="1" applyBorder="1" applyAlignment="1" applyProtection="1">
      <alignment/>
      <protection/>
    </xf>
    <xf numFmtId="0" fontId="14" fillId="0" borderId="30" xfId="0" applyFont="1" applyFill="1" applyBorder="1" applyAlignment="1" applyProtection="1">
      <alignment/>
      <protection/>
    </xf>
    <xf numFmtId="0" fontId="14" fillId="0" borderId="31" xfId="0" applyFont="1" applyFill="1" applyBorder="1" applyAlignment="1" applyProtection="1">
      <alignment/>
      <protection/>
    </xf>
    <xf numFmtId="0" fontId="14" fillId="0" borderId="28" xfId="0" applyFont="1" applyFill="1" applyBorder="1" applyAlignment="1" applyProtection="1">
      <alignment horizontal="left"/>
      <protection/>
    </xf>
    <xf numFmtId="3" fontId="14" fillId="0" borderId="28" xfId="0" applyNumberFormat="1" applyFont="1" applyFill="1" applyBorder="1" applyAlignment="1" applyProtection="1">
      <alignment horizontal="right"/>
      <protection/>
    </xf>
    <xf numFmtId="3" fontId="14" fillId="0" borderId="17" xfId="0" applyNumberFormat="1" applyFont="1" applyFill="1" applyBorder="1" applyAlignment="1" applyProtection="1">
      <alignment horizontal="right"/>
      <protection/>
    </xf>
    <xf numFmtId="49" fontId="8" fillId="39" borderId="27" xfId="0" applyNumberFormat="1" applyFont="1" applyFill="1" applyBorder="1" applyAlignment="1" applyProtection="1">
      <alignment horizontal="center" vertical="top" textRotation="90"/>
      <protection/>
    </xf>
    <xf numFmtId="49" fontId="8" fillId="39" borderId="22" xfId="0" applyNumberFormat="1" applyFont="1" applyFill="1" applyBorder="1" applyAlignment="1" applyProtection="1">
      <alignment horizontal="center" vertical="top" textRotation="90"/>
      <protection/>
    </xf>
    <xf numFmtId="0" fontId="8" fillId="39" borderId="27" xfId="0" applyFont="1" applyFill="1" applyBorder="1" applyAlignment="1" applyProtection="1">
      <alignment horizontal="center" vertical="center"/>
      <protection/>
    </xf>
    <xf numFmtId="49" fontId="8" fillId="39" borderId="21" xfId="0" applyNumberFormat="1" applyFont="1" applyFill="1" applyBorder="1" applyAlignment="1" applyProtection="1">
      <alignment horizontal="center" vertical="center" wrapText="1"/>
      <protection/>
    </xf>
    <xf numFmtId="49" fontId="8" fillId="39" borderId="27" xfId="0" applyNumberFormat="1" applyFont="1" applyFill="1" applyBorder="1" applyAlignment="1" applyProtection="1">
      <alignment horizontal="center" vertical="center" wrapText="1"/>
      <protection/>
    </xf>
    <xf numFmtId="49" fontId="9" fillId="0" borderId="25" xfId="0" applyNumberFormat="1" applyFont="1" applyBorder="1" applyAlignment="1" applyProtection="1">
      <alignment horizontal="center"/>
      <protection/>
    </xf>
    <xf numFmtId="49" fontId="9" fillId="0" borderId="16" xfId="0" applyNumberFormat="1" applyFont="1" applyBorder="1" applyAlignment="1" applyProtection="1">
      <alignment horizontal="center"/>
      <protection/>
    </xf>
    <xf numFmtId="49" fontId="9" fillId="0" borderId="42" xfId="0" applyNumberFormat="1" applyFont="1" applyBorder="1" applyAlignment="1" applyProtection="1">
      <alignment horizontal="center"/>
      <protection/>
    </xf>
    <xf numFmtId="49" fontId="9" fillId="0" borderId="40" xfId="0" applyNumberFormat="1" applyFont="1" applyBorder="1" applyAlignment="1" applyProtection="1">
      <alignment horizontal="center"/>
      <protection/>
    </xf>
    <xf numFmtId="0" fontId="8" fillId="33" borderId="43" xfId="0" applyFont="1" applyFill="1" applyBorder="1" applyAlignment="1" applyProtection="1">
      <alignment horizontal="center" wrapText="1"/>
      <protection/>
    </xf>
    <xf numFmtId="0" fontId="8" fillId="33" borderId="44" xfId="0" applyFont="1" applyFill="1" applyBorder="1" applyAlignment="1" applyProtection="1">
      <alignment horizontal="center" wrapText="1"/>
      <protection/>
    </xf>
    <xf numFmtId="0" fontId="8" fillId="33" borderId="45" xfId="0" applyFont="1" applyFill="1" applyBorder="1" applyAlignment="1" applyProtection="1">
      <alignment horizontal="center" wrapText="1"/>
      <protection/>
    </xf>
    <xf numFmtId="0" fontId="8" fillId="33" borderId="39" xfId="0" applyFont="1" applyFill="1" applyBorder="1" applyAlignment="1" applyProtection="1">
      <alignment horizontal="center" wrapText="1"/>
      <protection/>
    </xf>
    <xf numFmtId="49" fontId="12" fillId="40" borderId="46" xfId="0" applyNumberFormat="1" applyFont="1" applyFill="1" applyBorder="1" applyAlignment="1" applyProtection="1">
      <alignment horizontal="center" vertical="top" textRotation="90"/>
      <protection/>
    </xf>
    <xf numFmtId="49" fontId="12" fillId="40" borderId="13" xfId="0" applyNumberFormat="1" applyFont="1" applyFill="1" applyBorder="1" applyAlignment="1" applyProtection="1">
      <alignment horizontal="center" vertical="top" textRotation="90"/>
      <protection/>
    </xf>
    <xf numFmtId="0" fontId="12" fillId="40" borderId="13" xfId="0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2" fillId="33" borderId="47" xfId="0" applyFont="1" applyFill="1" applyBorder="1" applyAlignment="1" applyProtection="1">
      <alignment horizontal="center" vertical="center" wrapText="1"/>
      <protection/>
    </xf>
    <xf numFmtId="3" fontId="13" fillId="33" borderId="48" xfId="0" applyNumberFormat="1" applyFont="1" applyFill="1" applyBorder="1" applyAlignment="1" applyProtection="1">
      <alignment horizontal="right"/>
      <protection/>
    </xf>
    <xf numFmtId="3" fontId="13" fillId="0" borderId="49" xfId="0" applyNumberFormat="1" applyFont="1" applyFill="1" applyBorder="1" applyAlignment="1" applyProtection="1">
      <alignment horizontal="right"/>
      <protection/>
    </xf>
    <xf numFmtId="3" fontId="13" fillId="33" borderId="33" xfId="0" applyNumberFormat="1" applyFont="1" applyFill="1" applyBorder="1" applyAlignment="1" applyProtection="1">
      <alignment horizontal="right"/>
      <protection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13" fillId="33" borderId="13" xfId="0" applyNumberFormat="1" applyFont="1" applyFill="1" applyBorder="1" applyAlignment="1" applyProtection="1">
      <alignment horizontal="right"/>
      <protection/>
    </xf>
    <xf numFmtId="3" fontId="8" fillId="34" borderId="13" xfId="0" applyNumberFormat="1" applyFont="1" applyFill="1" applyBorder="1" applyAlignment="1" applyProtection="1">
      <alignment horizontal="right"/>
      <protection locked="0"/>
    </xf>
    <xf numFmtId="3" fontId="6" fillId="34" borderId="13" xfId="0" applyNumberFormat="1" applyFont="1" applyFill="1" applyBorder="1" applyAlignment="1" applyProtection="1">
      <alignment horizontal="right"/>
      <protection locked="0"/>
    </xf>
    <xf numFmtId="3" fontId="13" fillId="33" borderId="13" xfId="0" applyNumberFormat="1" applyFont="1" applyFill="1" applyBorder="1" applyAlignment="1" applyProtection="1">
      <alignment horizontal="right"/>
      <protection locked="0"/>
    </xf>
    <xf numFmtId="3" fontId="13" fillId="0" borderId="29" xfId="0" applyNumberFormat="1" applyFont="1" applyFill="1" applyBorder="1" applyAlignment="1" applyProtection="1">
      <alignment horizontal="right"/>
      <protection/>
    </xf>
    <xf numFmtId="3" fontId="6" fillId="0" borderId="14" xfId="0" applyNumberFormat="1" applyFont="1" applyFill="1" applyBorder="1" applyAlignment="1" applyProtection="1">
      <alignment horizontal="right"/>
      <protection locked="0"/>
    </xf>
    <xf numFmtId="3" fontId="13" fillId="33" borderId="14" xfId="0" applyNumberFormat="1" applyFont="1" applyFill="1" applyBorder="1" applyAlignment="1" applyProtection="1">
      <alignment horizontal="right"/>
      <protection/>
    </xf>
    <xf numFmtId="3" fontId="8" fillId="34" borderId="14" xfId="0" applyNumberFormat="1" applyFont="1" applyFill="1" applyBorder="1" applyAlignment="1" applyProtection="1">
      <alignment horizontal="right"/>
      <protection locked="0"/>
    </xf>
    <xf numFmtId="3" fontId="13" fillId="0" borderId="50" xfId="0" applyNumberFormat="1" applyFont="1" applyFill="1" applyBorder="1" applyAlignment="1" applyProtection="1">
      <alignment horizontal="right"/>
      <protection/>
    </xf>
    <xf numFmtId="0" fontId="21" fillId="0" borderId="0" xfId="0" applyFont="1" applyAlignment="1" applyProtection="1">
      <alignment horizontal="left"/>
      <protection/>
    </xf>
    <xf numFmtId="0" fontId="8" fillId="37" borderId="27" xfId="0" applyFont="1" applyFill="1" applyBorder="1" applyAlignment="1" applyProtection="1">
      <alignment horizontal="center" vertical="center" wrapText="1"/>
      <protection/>
    </xf>
    <xf numFmtId="0" fontId="8" fillId="37" borderId="51" xfId="0" applyFont="1" applyFill="1" applyBorder="1" applyAlignment="1" applyProtection="1">
      <alignment horizontal="center" wrapText="1"/>
      <protection/>
    </xf>
    <xf numFmtId="0" fontId="8" fillId="37" borderId="52" xfId="0" applyFont="1" applyFill="1" applyBorder="1" applyAlignment="1" applyProtection="1">
      <alignment horizontal="center" wrapText="1"/>
      <protection/>
    </xf>
    <xf numFmtId="0" fontId="8" fillId="37" borderId="27" xfId="0" applyFont="1" applyFill="1" applyBorder="1" applyAlignment="1">
      <alignment/>
    </xf>
    <xf numFmtId="0" fontId="19" fillId="0" borderId="0" xfId="0" applyFont="1" applyFill="1" applyAlignment="1" applyProtection="1">
      <alignment horizontal="left"/>
      <protection/>
    </xf>
    <xf numFmtId="4" fontId="8" fillId="0" borderId="20" xfId="0" applyNumberFormat="1" applyFont="1" applyBorder="1" applyAlignment="1">
      <alignment/>
    </xf>
    <xf numFmtId="4" fontId="8" fillId="0" borderId="27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23" fillId="10" borderId="21" xfId="0" applyFont="1" applyFill="1" applyBorder="1" applyAlignment="1">
      <alignment horizontal="center" vertical="top" wrapText="1"/>
    </xf>
    <xf numFmtId="0" fontId="23" fillId="10" borderId="53" xfId="0" applyFont="1" applyFill="1" applyBorder="1" applyAlignment="1">
      <alignment horizontal="center" vertical="top" wrapText="1"/>
    </xf>
    <xf numFmtId="0" fontId="23" fillId="41" borderId="19" xfId="0" applyFont="1" applyFill="1" applyBorder="1" applyAlignment="1">
      <alignment wrapText="1"/>
    </xf>
    <xf numFmtId="3" fontId="23" fillId="41" borderId="54" xfId="0" applyNumberFormat="1" applyFont="1" applyFill="1" applyBorder="1" applyAlignment="1">
      <alignment wrapText="1"/>
    </xf>
    <xf numFmtId="0" fontId="23" fillId="2" borderId="32" xfId="0" applyFont="1" applyFill="1" applyBorder="1" applyAlignment="1">
      <alignment wrapText="1"/>
    </xf>
    <xf numFmtId="3" fontId="23" fillId="2" borderId="55" xfId="0" applyNumberFormat="1" applyFont="1" applyFill="1" applyBorder="1" applyAlignment="1">
      <alignment wrapText="1"/>
    </xf>
    <xf numFmtId="0" fontId="25" fillId="0" borderId="10" xfId="0" applyFont="1" applyBorder="1" applyAlignment="1">
      <alignment wrapText="1"/>
    </xf>
    <xf numFmtId="3" fontId="25" fillId="0" borderId="46" xfId="0" applyNumberFormat="1" applyFont="1" applyBorder="1" applyAlignment="1">
      <alignment wrapText="1"/>
    </xf>
    <xf numFmtId="0" fontId="25" fillId="0" borderId="10" xfId="0" applyFont="1" applyFill="1" applyBorder="1" applyAlignment="1">
      <alignment wrapText="1"/>
    </xf>
    <xf numFmtId="3" fontId="25" fillId="0" borderId="46" xfId="0" applyNumberFormat="1" applyFont="1" applyFill="1" applyBorder="1" applyAlignment="1">
      <alignment wrapText="1"/>
    </xf>
    <xf numFmtId="0" fontId="23" fillId="2" borderId="10" xfId="0" applyFont="1" applyFill="1" applyBorder="1" applyAlignment="1">
      <alignment wrapText="1"/>
    </xf>
    <xf numFmtId="3" fontId="23" fillId="2" borderId="46" xfId="0" applyNumberFormat="1" applyFont="1" applyFill="1" applyBorder="1" applyAlignment="1">
      <alignment wrapText="1"/>
    </xf>
    <xf numFmtId="0" fontId="23" fillId="2" borderId="56" xfId="0" applyFont="1" applyFill="1" applyBorder="1" applyAlignment="1">
      <alignment wrapText="1"/>
    </xf>
    <xf numFmtId="3" fontId="23" fillId="2" borderId="57" xfId="0" applyNumberFormat="1" applyFont="1" applyFill="1" applyBorder="1" applyAlignment="1">
      <alignment wrapText="1"/>
    </xf>
    <xf numFmtId="0" fontId="23" fillId="2" borderId="28" xfId="0" applyFont="1" applyFill="1" applyBorder="1" applyAlignment="1">
      <alignment wrapText="1"/>
    </xf>
    <xf numFmtId="3" fontId="23" fillId="2" borderId="24" xfId="0" applyNumberFormat="1" applyFont="1" applyFill="1" applyBorder="1" applyAlignment="1">
      <alignment wrapText="1"/>
    </xf>
    <xf numFmtId="0" fontId="23" fillId="10" borderId="25" xfId="0" applyFont="1" applyFill="1" applyBorder="1" applyAlignment="1">
      <alignment horizontal="center" vertical="top" wrapText="1"/>
    </xf>
    <xf numFmtId="0" fontId="23" fillId="10" borderId="16" xfId="0" applyFont="1" applyFill="1" applyBorder="1" applyAlignment="1">
      <alignment horizontal="center" vertical="top" wrapText="1"/>
    </xf>
    <xf numFmtId="0" fontId="23" fillId="40" borderId="10" xfId="0" applyFont="1" applyFill="1" applyBorder="1" applyAlignment="1">
      <alignment wrapText="1"/>
    </xf>
    <xf numFmtId="3" fontId="23" fillId="40" borderId="13" xfId="0" applyNumberFormat="1" applyFont="1" applyFill="1" applyBorder="1" applyAlignment="1">
      <alignment wrapText="1"/>
    </xf>
    <xf numFmtId="3" fontId="23" fillId="2" borderId="13" xfId="0" applyNumberFormat="1" applyFont="1" applyFill="1" applyBorder="1" applyAlignment="1">
      <alignment wrapText="1"/>
    </xf>
    <xf numFmtId="0" fontId="25" fillId="0" borderId="10" xfId="0" applyFont="1" applyBorder="1" applyAlignment="1">
      <alignment horizontal="left" wrapText="1"/>
    </xf>
    <xf numFmtId="3" fontId="25" fillId="0" borderId="13" xfId="0" applyNumberFormat="1" applyFont="1" applyBorder="1" applyAlignment="1">
      <alignment wrapText="1"/>
    </xf>
    <xf numFmtId="0" fontId="25" fillId="0" borderId="10" xfId="0" applyFont="1" applyFill="1" applyBorder="1" applyAlignment="1">
      <alignment horizontal="left" wrapText="1"/>
    </xf>
    <xf numFmtId="3" fontId="25" fillId="0" borderId="13" xfId="0" applyNumberFormat="1" applyFont="1" applyFill="1" applyBorder="1" applyAlignment="1">
      <alignment wrapText="1"/>
    </xf>
    <xf numFmtId="0" fontId="25" fillId="0" borderId="10" xfId="0" applyFont="1" applyBorder="1" applyAlignment="1">
      <alignment horizontal="left" vertical="top" wrapText="1"/>
    </xf>
    <xf numFmtId="3" fontId="25" fillId="0" borderId="13" xfId="0" applyNumberFormat="1" applyFont="1" applyBorder="1" applyAlignment="1">
      <alignment vertical="top" wrapText="1"/>
    </xf>
    <xf numFmtId="3" fontId="25" fillId="0" borderId="13" xfId="0" applyNumberFormat="1" applyFont="1" applyBorder="1" applyAlignment="1">
      <alignment/>
    </xf>
    <xf numFmtId="0" fontId="25" fillId="0" borderId="56" xfId="0" applyFont="1" applyFill="1" applyBorder="1" applyAlignment="1">
      <alignment wrapText="1"/>
    </xf>
    <xf numFmtId="3" fontId="25" fillId="0" borderId="26" xfId="0" applyNumberFormat="1" applyFont="1" applyFill="1" applyBorder="1" applyAlignment="1">
      <alignment wrapText="1"/>
    </xf>
    <xf numFmtId="3" fontId="23" fillId="2" borderId="29" xfId="0" applyNumberFormat="1" applyFont="1" applyFill="1" applyBorder="1" applyAlignment="1">
      <alignment wrapText="1"/>
    </xf>
    <xf numFmtId="0" fontId="25" fillId="0" borderId="0" xfId="0" applyFont="1" applyAlignment="1">
      <alignment wrapText="1"/>
    </xf>
    <xf numFmtId="3" fontId="25" fillId="0" borderId="0" xfId="0" applyNumberFormat="1" applyFont="1" applyAlignment="1">
      <alignment/>
    </xf>
    <xf numFmtId="0" fontId="23" fillId="7" borderId="27" xfId="0" applyFont="1" applyFill="1" applyBorder="1" applyAlignment="1">
      <alignment wrapText="1"/>
    </xf>
    <xf numFmtId="3" fontId="23" fillId="7" borderId="27" xfId="0" applyNumberFormat="1" applyFont="1" applyFill="1" applyBorder="1" applyAlignment="1">
      <alignment wrapText="1"/>
    </xf>
    <xf numFmtId="0" fontId="25" fillId="0" borderId="0" xfId="0" applyFont="1" applyAlignment="1">
      <alignment horizontal="center" wrapText="1"/>
    </xf>
    <xf numFmtId="0" fontId="25" fillId="0" borderId="58" xfId="0" applyFont="1" applyBorder="1" applyAlignment="1">
      <alignment horizontal="left" wrapText="1"/>
    </xf>
    <xf numFmtId="3" fontId="25" fillId="0" borderId="59" xfId="0" applyNumberFormat="1" applyFont="1" applyBorder="1" applyAlignment="1">
      <alignment/>
    </xf>
    <xf numFmtId="0" fontId="25" fillId="0" borderId="36" xfId="0" applyFont="1" applyBorder="1" applyAlignment="1">
      <alignment horizontal="left" wrapText="1"/>
    </xf>
    <xf numFmtId="3" fontId="25" fillId="0" borderId="39" xfId="0" applyNumberFormat="1" applyFont="1" applyBorder="1" applyAlignment="1">
      <alignment/>
    </xf>
    <xf numFmtId="0" fontId="25" fillId="0" borderId="0" xfId="0" applyFont="1" applyBorder="1" applyAlignment="1">
      <alignment horizontal="left" wrapText="1"/>
    </xf>
    <xf numFmtId="3" fontId="25" fillId="0" borderId="0" xfId="0" applyNumberFormat="1" applyFont="1" applyBorder="1" applyAlignment="1">
      <alignment/>
    </xf>
    <xf numFmtId="0" fontId="25" fillId="0" borderId="21" xfId="0" applyFont="1" applyBorder="1" applyAlignment="1">
      <alignment horizontal="left" wrapText="1"/>
    </xf>
    <xf numFmtId="0" fontId="23" fillId="42" borderId="27" xfId="0" applyFont="1" applyFill="1" applyBorder="1" applyAlignment="1">
      <alignment wrapText="1"/>
    </xf>
    <xf numFmtId="3" fontId="23" fillId="42" borderId="27" xfId="0" applyNumberFormat="1" applyFont="1" applyFill="1" applyBorder="1" applyAlignment="1">
      <alignment wrapText="1"/>
    </xf>
    <xf numFmtId="0" fontId="26" fillId="43" borderId="0" xfId="0" applyFont="1" applyFill="1" applyAlignment="1">
      <alignment horizontal="left"/>
    </xf>
    <xf numFmtId="0" fontId="27" fillId="43" borderId="0" xfId="0" applyFont="1" applyFill="1" applyAlignment="1">
      <alignment/>
    </xf>
    <xf numFmtId="0" fontId="25" fillId="0" borderId="0" xfId="0" applyFont="1" applyAlignment="1">
      <alignment/>
    </xf>
    <xf numFmtId="0" fontId="28" fillId="0" borderId="0" xfId="0" applyFont="1" applyFill="1" applyBorder="1" applyAlignment="1">
      <alignment horizontal="center" vertical="top" wrapText="1"/>
    </xf>
    <xf numFmtId="0" fontId="23" fillId="44" borderId="27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justify" vertical="top" wrapText="1"/>
    </xf>
    <xf numFmtId="0" fontId="23" fillId="10" borderId="60" xfId="0" applyFont="1" applyFill="1" applyBorder="1" applyAlignment="1">
      <alignment horizontal="center" vertical="top" wrapText="1"/>
    </xf>
    <xf numFmtId="0" fontId="23" fillId="10" borderId="51" xfId="0" applyFont="1" applyFill="1" applyBorder="1" applyAlignment="1">
      <alignment horizontal="center" vertical="top" wrapText="1"/>
    </xf>
    <xf numFmtId="3" fontId="25" fillId="0" borderId="61" xfId="0" applyNumberFormat="1" applyFont="1" applyBorder="1" applyAlignment="1">
      <alignment wrapText="1"/>
    </xf>
    <xf numFmtId="3" fontId="25" fillId="0" borderId="15" xfId="0" applyNumberFormat="1" applyFont="1" applyBorder="1" applyAlignment="1">
      <alignment wrapText="1"/>
    </xf>
    <xf numFmtId="3" fontId="25" fillId="0" borderId="61" xfId="0" applyNumberFormat="1" applyFont="1" applyFill="1" applyBorder="1" applyAlignment="1">
      <alignment wrapText="1"/>
    </xf>
    <xf numFmtId="3" fontId="25" fillId="0" borderId="15" xfId="0" applyNumberFormat="1" applyFont="1" applyFill="1" applyBorder="1" applyAlignment="1">
      <alignment wrapText="1"/>
    </xf>
    <xf numFmtId="3" fontId="23" fillId="2" borderId="61" xfId="0" applyNumberFormat="1" applyFont="1" applyFill="1" applyBorder="1" applyAlignment="1">
      <alignment wrapText="1"/>
    </xf>
    <xf numFmtId="3" fontId="23" fillId="2" borderId="15" xfId="0" applyNumberFormat="1" applyFont="1" applyFill="1" applyBorder="1" applyAlignment="1">
      <alignment wrapText="1"/>
    </xf>
    <xf numFmtId="3" fontId="23" fillId="2" borderId="62" xfId="0" applyNumberFormat="1" applyFont="1" applyFill="1" applyBorder="1" applyAlignment="1">
      <alignment wrapText="1"/>
    </xf>
    <xf numFmtId="3" fontId="23" fillId="2" borderId="20" xfId="0" applyNumberFormat="1" applyFont="1" applyFill="1" applyBorder="1" applyAlignment="1">
      <alignment wrapText="1"/>
    </xf>
    <xf numFmtId="3" fontId="23" fillId="2" borderId="63" xfId="0" applyNumberFormat="1" applyFont="1" applyFill="1" applyBorder="1" applyAlignment="1">
      <alignment wrapText="1"/>
    </xf>
    <xf numFmtId="3" fontId="23" fillId="2" borderId="17" xfId="0" applyNumberFormat="1" applyFont="1" applyFill="1" applyBorder="1" applyAlignment="1">
      <alignment wrapText="1"/>
    </xf>
    <xf numFmtId="3" fontId="25" fillId="0" borderId="34" xfId="0" applyNumberFormat="1" applyFont="1" applyBorder="1" applyAlignment="1">
      <alignment/>
    </xf>
    <xf numFmtId="3" fontId="25" fillId="0" borderId="64" xfId="0" applyNumberFormat="1" applyFont="1" applyBorder="1" applyAlignment="1">
      <alignment/>
    </xf>
    <xf numFmtId="3" fontId="25" fillId="0" borderId="37" xfId="0" applyNumberFormat="1" applyFont="1" applyBorder="1" applyAlignment="1">
      <alignment/>
    </xf>
    <xf numFmtId="3" fontId="25" fillId="0" borderId="38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3" fontId="25" fillId="0" borderId="65" xfId="0" applyNumberFormat="1" applyFont="1" applyBorder="1" applyAlignment="1">
      <alignment/>
    </xf>
    <xf numFmtId="0" fontId="23" fillId="0" borderId="27" xfId="0" applyFont="1" applyBorder="1" applyAlignment="1">
      <alignment horizontal="left"/>
    </xf>
    <xf numFmtId="0" fontId="23" fillId="0" borderId="37" xfId="0" applyFont="1" applyBorder="1" applyAlignment="1">
      <alignment horizontal="left"/>
    </xf>
    <xf numFmtId="0" fontId="25" fillId="0" borderId="37" xfId="0" applyFont="1" applyBorder="1" applyAlignment="1">
      <alignment horizontal="left"/>
    </xf>
    <xf numFmtId="0" fontId="26" fillId="43" borderId="0" xfId="0" applyFont="1" applyFill="1" applyAlignment="1">
      <alignment/>
    </xf>
    <xf numFmtId="0" fontId="6" fillId="0" borderId="0" xfId="0" applyFont="1" applyAlignment="1" applyProtection="1">
      <alignment horizontal="right"/>
      <protection locked="0"/>
    </xf>
    <xf numFmtId="14" fontId="6" fillId="0" borderId="0" xfId="0" applyNumberFormat="1" applyFont="1" applyAlignment="1" applyProtection="1">
      <alignment/>
      <protection locked="0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22" fillId="0" borderId="68" xfId="0" applyFont="1" applyBorder="1" applyAlignment="1">
      <alignment/>
    </xf>
    <xf numFmtId="0" fontId="0" fillId="0" borderId="68" xfId="0" applyBorder="1" applyAlignment="1">
      <alignment/>
    </xf>
    <xf numFmtId="3" fontId="6" fillId="0" borderId="66" xfId="0" applyNumberFormat="1" applyFont="1" applyBorder="1" applyAlignment="1">
      <alignment/>
    </xf>
    <xf numFmtId="0" fontId="0" fillId="0" borderId="0" xfId="0" applyBorder="1" applyAlignment="1">
      <alignment/>
    </xf>
    <xf numFmtId="0" fontId="29" fillId="0" borderId="69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0" fillId="0" borderId="15" xfId="0" applyBorder="1" applyAlignment="1">
      <alignment/>
    </xf>
    <xf numFmtId="3" fontId="8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14" fontId="24" fillId="0" borderId="0" xfId="0" applyNumberFormat="1" applyFont="1" applyFill="1" applyBorder="1" applyAlignment="1">
      <alignment horizontal="center" vertical="top" wrapText="1"/>
    </xf>
    <xf numFmtId="3" fontId="18" fillId="0" borderId="0" xfId="0" applyNumberFormat="1" applyFont="1" applyFill="1" applyAlignment="1">
      <alignment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49" fontId="16" fillId="38" borderId="11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 horizontal="left"/>
      <protection/>
    </xf>
    <xf numFmtId="3" fontId="0" fillId="0" borderId="0" xfId="0" applyNumberFormat="1" applyFont="1" applyAlignment="1" applyProtection="1">
      <alignment horizontal="left"/>
      <protection locked="0"/>
    </xf>
    <xf numFmtId="49" fontId="17" fillId="38" borderId="33" xfId="0" applyNumberFormat="1" applyFont="1" applyFill="1" applyBorder="1" applyAlignment="1" applyProtection="1">
      <alignment horizontal="center"/>
      <protection/>
    </xf>
    <xf numFmtId="49" fontId="15" fillId="34" borderId="13" xfId="0" applyNumberFormat="1" applyFont="1" applyFill="1" applyBorder="1" applyAlignment="1" applyProtection="1">
      <alignment horizontal="center"/>
      <protection/>
    </xf>
    <xf numFmtId="49" fontId="17" fillId="38" borderId="13" xfId="0" applyNumberFormat="1" applyFont="1" applyFill="1" applyBorder="1" applyAlignment="1" applyProtection="1">
      <alignment horizontal="center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23" fillId="45" borderId="22" xfId="0" applyFont="1" applyFill="1" applyBorder="1" applyAlignment="1" applyProtection="1">
      <alignment horizontal="center"/>
      <protection locked="0"/>
    </xf>
    <xf numFmtId="0" fontId="0" fillId="0" borderId="65" xfId="0" applyFont="1" applyBorder="1" applyAlignment="1">
      <alignment/>
    </xf>
    <xf numFmtId="0" fontId="65" fillId="44" borderId="39" xfId="0" applyNumberFormat="1" applyFont="1" applyFill="1" applyBorder="1" applyAlignment="1" applyProtection="1">
      <alignment horizontal="center"/>
      <protection/>
    </xf>
    <xf numFmtId="0" fontId="65" fillId="44" borderId="38" xfId="0" applyNumberFormat="1" applyFont="1" applyFill="1" applyBorder="1" applyAlignment="1" applyProtection="1">
      <alignment horizontal="center"/>
      <protection/>
    </xf>
    <xf numFmtId="0" fontId="28" fillId="43" borderId="0" xfId="0" applyFont="1" applyFill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49"/>
  <sheetViews>
    <sheetView zoomScalePageLayoutView="0" workbookViewId="0" topLeftCell="A5">
      <pane xSplit="8" ySplit="3" topLeftCell="I92" activePane="bottomRight" state="frozen"/>
      <selection pane="topLeft" activeCell="A5" sqref="A5"/>
      <selection pane="topRight" activeCell="H5" sqref="H5"/>
      <selection pane="bottomLeft" activeCell="A8" sqref="A8"/>
      <selection pane="bottomRight" activeCell="I119" sqref="I119"/>
    </sheetView>
  </sheetViews>
  <sheetFormatPr defaultColWidth="11.421875" defaultRowHeight="12.75"/>
  <cols>
    <col min="1" max="1" width="5.140625" style="0" customWidth="1"/>
    <col min="2" max="2" width="5.421875" style="0" customWidth="1"/>
    <col min="3" max="3" width="4.00390625" style="0" customWidth="1"/>
    <col min="4" max="5" width="5.00390625" style="0" customWidth="1"/>
    <col min="6" max="7" width="4.8515625" style="0" customWidth="1"/>
    <col min="8" max="8" width="38.8515625" style="0" customWidth="1"/>
    <col min="9" max="9" width="12.00390625" style="0" customWidth="1"/>
    <col min="10" max="10" width="11.57421875" style="0" customWidth="1"/>
    <col min="11" max="13" width="11.28125" style="0" customWidth="1"/>
    <col min="14" max="15" width="11.421875" style="0" customWidth="1"/>
    <col min="16" max="16" width="12.140625" style="0" customWidth="1"/>
    <col min="17" max="17" width="11.00390625" style="0" customWidth="1"/>
    <col min="18" max="18" width="10.8515625" style="0" customWidth="1"/>
    <col min="19" max="19" width="11.57421875" style="0" hidden="1" customWidth="1"/>
    <col min="20" max="20" width="11.140625" style="0" hidden="1" customWidth="1"/>
    <col min="21" max="21" width="11.28125" style="0" hidden="1" customWidth="1"/>
    <col min="22" max="22" width="12.28125" style="0" customWidth="1"/>
    <col min="23" max="23" width="12.7109375" style="0" customWidth="1"/>
    <col min="24" max="24" width="8.140625" style="0" customWidth="1"/>
    <col min="25" max="25" width="6.28125" style="0" customWidth="1"/>
  </cols>
  <sheetData>
    <row r="2" spans="1:23" ht="15.75">
      <c r="A2" s="1"/>
      <c r="B2" s="18" t="s">
        <v>0</v>
      </c>
      <c r="C2" s="2"/>
      <c r="D2" s="2"/>
      <c r="E2" s="2"/>
      <c r="F2" s="2"/>
      <c r="G2" s="2"/>
      <c r="H2" s="1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"/>
      <c r="W2" s="2"/>
    </row>
    <row r="3" spans="1:23" ht="12.75">
      <c r="A3" s="1"/>
      <c r="B3" s="18" t="s">
        <v>1</v>
      </c>
      <c r="C3" s="2"/>
      <c r="D3" s="2"/>
      <c r="E3" s="2"/>
      <c r="F3" s="2"/>
      <c r="G3" s="2"/>
      <c r="H3" s="2"/>
      <c r="I3" s="4"/>
      <c r="J3" s="217"/>
      <c r="K3" s="217"/>
      <c r="L3" s="217"/>
      <c r="M3" s="217"/>
      <c r="N3" s="217"/>
      <c r="O3" s="217"/>
      <c r="P3" s="4"/>
      <c r="Q3" s="4"/>
      <c r="R3" s="4"/>
      <c r="S3" s="4"/>
      <c r="T3" s="4"/>
      <c r="U3" s="4"/>
      <c r="V3" s="416" t="s">
        <v>644</v>
      </c>
      <c r="W3" s="417">
        <v>41973</v>
      </c>
    </row>
    <row r="4" spans="1:23" ht="12.75">
      <c r="A4" s="7"/>
      <c r="B4" s="2"/>
      <c r="C4" s="2"/>
      <c r="D4" s="2"/>
      <c r="E4" s="2"/>
      <c r="F4" s="2"/>
      <c r="G4" s="2"/>
      <c r="H4" s="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"/>
      <c r="W4" s="2"/>
    </row>
    <row r="5" spans="1:23" ht="19.5" thickBot="1">
      <c r="A5" s="7"/>
      <c r="B5" s="9"/>
      <c r="C5" s="7"/>
      <c r="D5" s="7"/>
      <c r="E5" s="7"/>
      <c r="F5" s="7"/>
      <c r="G5" s="7"/>
      <c r="H5" s="332" t="s">
        <v>671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55"/>
      <c r="T5" s="219"/>
      <c r="U5" s="55"/>
      <c r="V5" s="7"/>
      <c r="W5" s="7"/>
    </row>
    <row r="6" spans="1:24" ht="34.5" customHeight="1" thickBot="1">
      <c r="A6" s="7"/>
      <c r="B6" s="301" t="s">
        <v>2</v>
      </c>
      <c r="C6" s="302" t="s">
        <v>3</v>
      </c>
      <c r="D6" s="301" t="s">
        <v>4</v>
      </c>
      <c r="E6" s="301"/>
      <c r="F6" s="301" t="s">
        <v>5</v>
      </c>
      <c r="G6" s="301"/>
      <c r="H6" s="303" t="s">
        <v>6</v>
      </c>
      <c r="I6" s="304" t="s">
        <v>7</v>
      </c>
      <c r="J6" s="304" t="s">
        <v>490</v>
      </c>
      <c r="K6" s="304" t="s">
        <v>491</v>
      </c>
      <c r="L6" s="304" t="s">
        <v>492</v>
      </c>
      <c r="M6" s="304" t="s">
        <v>493</v>
      </c>
      <c r="N6" s="304" t="s">
        <v>494</v>
      </c>
      <c r="O6" s="304" t="s">
        <v>495</v>
      </c>
      <c r="P6" s="304" t="s">
        <v>496</v>
      </c>
      <c r="Q6" s="304" t="s">
        <v>497</v>
      </c>
      <c r="R6" s="304" t="s">
        <v>498</v>
      </c>
      <c r="S6" s="304" t="s">
        <v>499</v>
      </c>
      <c r="T6" s="304" t="s">
        <v>500</v>
      </c>
      <c r="U6" s="304" t="s">
        <v>501</v>
      </c>
      <c r="V6" s="304" t="s">
        <v>8</v>
      </c>
      <c r="W6" s="305" t="s">
        <v>9</v>
      </c>
      <c r="X6" s="305" t="s">
        <v>524</v>
      </c>
    </row>
    <row r="7" spans="1:24" ht="29.25" customHeight="1">
      <c r="A7" s="1"/>
      <c r="B7" s="190" t="s">
        <v>10</v>
      </c>
      <c r="C7" s="191"/>
      <c r="D7" s="191"/>
      <c r="E7" s="434"/>
      <c r="F7" s="192"/>
      <c r="G7" s="437"/>
      <c r="H7" s="193" t="s">
        <v>11</v>
      </c>
      <c r="I7" s="222">
        <f>SUM(I8+I34+I40+I41)</f>
        <v>18278177000</v>
      </c>
      <c r="J7" s="222">
        <f>SUM(J8+J34+J40+J41)</f>
        <v>2437005594</v>
      </c>
      <c r="K7" s="222">
        <f aca="true" t="shared" si="0" ref="K7:U7">SUM(K8+K34+K40+K41)</f>
        <v>836153426</v>
      </c>
      <c r="L7" s="222">
        <f t="shared" si="0"/>
        <v>3756014893</v>
      </c>
      <c r="M7" s="222">
        <f t="shared" si="0"/>
        <v>839977113</v>
      </c>
      <c r="N7" s="222">
        <f t="shared" si="0"/>
        <v>1424468547</v>
      </c>
      <c r="O7" s="222">
        <f>SUM(O8+O34+O40+O41)</f>
        <v>605744873</v>
      </c>
      <c r="P7" s="222">
        <f t="shared" si="0"/>
        <v>3128575949</v>
      </c>
      <c r="Q7" s="222">
        <f t="shared" si="0"/>
        <v>1154978788</v>
      </c>
      <c r="R7" s="222">
        <f t="shared" si="0"/>
        <v>1016062521</v>
      </c>
      <c r="S7" s="222">
        <f t="shared" si="0"/>
        <v>0</v>
      </c>
      <c r="T7" s="222">
        <f t="shared" si="0"/>
        <v>0</v>
      </c>
      <c r="U7" s="222">
        <f t="shared" si="0"/>
        <v>0</v>
      </c>
      <c r="V7" s="222">
        <f>SUM(V8+V34+V40+V41)</f>
        <v>15198981704</v>
      </c>
      <c r="W7" s="223">
        <f aca="true" t="shared" si="1" ref="W7:W16">I7-V7</f>
        <v>3079195296</v>
      </c>
      <c r="X7" s="194">
        <f aca="true" t="shared" si="2" ref="X7:X16">SUM(V7/I7)*100</f>
        <v>83.15370676189426</v>
      </c>
    </row>
    <row r="8" spans="1:24" ht="12.75">
      <c r="A8" s="1"/>
      <c r="B8" s="86" t="s">
        <v>10</v>
      </c>
      <c r="C8" s="87" t="s">
        <v>12</v>
      </c>
      <c r="D8" s="87"/>
      <c r="E8" s="89"/>
      <c r="F8" s="195"/>
      <c r="G8" s="438"/>
      <c r="H8" s="196" t="s">
        <v>13</v>
      </c>
      <c r="I8" s="224">
        <f>SUM(I9+I19+I24+I31+I33)</f>
        <v>8022057000</v>
      </c>
      <c r="J8" s="224">
        <f>SUM(J9+J19+J24+J31+J33)</f>
        <v>2051292478</v>
      </c>
      <c r="K8" s="224">
        <f aca="true" t="shared" si="3" ref="K8:U8">SUM(K9+K19+K24+K31+K33)</f>
        <v>561043972</v>
      </c>
      <c r="L8" s="224">
        <f t="shared" si="3"/>
        <v>260100100</v>
      </c>
      <c r="M8" s="224">
        <f t="shared" si="3"/>
        <v>269044474</v>
      </c>
      <c r="N8" s="224">
        <f t="shared" si="3"/>
        <v>298786368</v>
      </c>
      <c r="O8" s="224">
        <f>SUM(O9+O19+O24+O31+O33)</f>
        <v>298440290</v>
      </c>
      <c r="P8" s="224">
        <f t="shared" si="3"/>
        <v>2311280120</v>
      </c>
      <c r="Q8" s="224">
        <f t="shared" si="3"/>
        <v>451946595</v>
      </c>
      <c r="R8" s="224">
        <f t="shared" si="3"/>
        <v>446227251</v>
      </c>
      <c r="S8" s="224">
        <f t="shared" si="3"/>
        <v>0</v>
      </c>
      <c r="T8" s="224">
        <f t="shared" si="3"/>
        <v>0</v>
      </c>
      <c r="U8" s="224">
        <f t="shared" si="3"/>
        <v>0</v>
      </c>
      <c r="V8" s="224">
        <f>SUM(V9+V19+V24+V31+V33)</f>
        <v>6948161648</v>
      </c>
      <c r="W8" s="224">
        <f t="shared" si="1"/>
        <v>1073895352</v>
      </c>
      <c r="X8" s="197">
        <f t="shared" si="2"/>
        <v>86.61321713371022</v>
      </c>
    </row>
    <row r="9" spans="1:24" ht="12.75">
      <c r="A9" s="1"/>
      <c r="B9" s="91" t="s">
        <v>10</v>
      </c>
      <c r="C9" s="92" t="s">
        <v>12</v>
      </c>
      <c r="D9" s="92" t="s">
        <v>14</v>
      </c>
      <c r="E9" s="94"/>
      <c r="F9" s="94"/>
      <c r="G9" s="92"/>
      <c r="H9" s="198" t="s">
        <v>15</v>
      </c>
      <c r="I9" s="19">
        <f>SUM(I10)</f>
        <v>4098488000</v>
      </c>
      <c r="J9" s="19">
        <f>SUM(J10)</f>
        <v>1535401022</v>
      </c>
      <c r="K9" s="19">
        <f aca="true" t="shared" si="4" ref="K9:U9">SUM(K10)</f>
        <v>276957761</v>
      </c>
      <c r="L9" s="19">
        <f t="shared" si="4"/>
        <v>52846320</v>
      </c>
      <c r="M9" s="19">
        <f t="shared" si="4"/>
        <v>32113760</v>
      </c>
      <c r="N9" s="19">
        <f t="shared" si="4"/>
        <v>28394159</v>
      </c>
      <c r="O9" s="19">
        <f t="shared" si="4"/>
        <v>51752455</v>
      </c>
      <c r="P9" s="19">
        <f t="shared" si="4"/>
        <v>1700138177</v>
      </c>
      <c r="Q9" s="19">
        <f t="shared" si="4"/>
        <v>206713239</v>
      </c>
      <c r="R9" s="19">
        <f t="shared" si="4"/>
        <v>75617944</v>
      </c>
      <c r="S9" s="19">
        <f t="shared" si="4"/>
        <v>0</v>
      </c>
      <c r="T9" s="19">
        <f t="shared" si="4"/>
        <v>0</v>
      </c>
      <c r="U9" s="19">
        <f t="shared" si="4"/>
        <v>0</v>
      </c>
      <c r="V9" s="19">
        <f>SUM(V10)</f>
        <v>3959934837</v>
      </c>
      <c r="W9" s="225">
        <f t="shared" si="1"/>
        <v>138553163</v>
      </c>
      <c r="X9" s="199">
        <f t="shared" si="2"/>
        <v>96.61940786455884</v>
      </c>
    </row>
    <row r="10" spans="1:24" ht="18" customHeight="1">
      <c r="A10" s="1"/>
      <c r="B10" s="200"/>
      <c r="C10" s="96"/>
      <c r="D10" s="96"/>
      <c r="E10" s="97"/>
      <c r="F10" s="97" t="s">
        <v>14</v>
      </c>
      <c r="G10" s="96"/>
      <c r="H10" s="201" t="s">
        <v>16</v>
      </c>
      <c r="I10" s="20">
        <f>SUM(I11:I18)</f>
        <v>4098488000</v>
      </c>
      <c r="J10" s="20">
        <f>SUM(J11:J16)</f>
        <v>1535401022</v>
      </c>
      <c r="K10" s="20">
        <f aca="true" t="shared" si="5" ref="K10:U10">SUM(K11:K16)</f>
        <v>276957761</v>
      </c>
      <c r="L10" s="20">
        <f t="shared" si="5"/>
        <v>52846320</v>
      </c>
      <c r="M10" s="20">
        <f t="shared" si="5"/>
        <v>32113760</v>
      </c>
      <c r="N10" s="20">
        <f t="shared" si="5"/>
        <v>28394159</v>
      </c>
      <c r="O10" s="20">
        <f>SUM(O11:O16)</f>
        <v>51752455</v>
      </c>
      <c r="P10" s="20">
        <f t="shared" si="5"/>
        <v>1700138177</v>
      </c>
      <c r="Q10" s="20">
        <f t="shared" si="5"/>
        <v>206713239</v>
      </c>
      <c r="R10" s="20">
        <f t="shared" si="5"/>
        <v>75617944</v>
      </c>
      <c r="S10" s="20">
        <f t="shared" si="5"/>
        <v>0</v>
      </c>
      <c r="T10" s="20">
        <f t="shared" si="5"/>
        <v>0</v>
      </c>
      <c r="U10" s="20">
        <f t="shared" si="5"/>
        <v>0</v>
      </c>
      <c r="V10" s="20">
        <f>SUM(J10:U10)</f>
        <v>3959934837</v>
      </c>
      <c r="W10" s="225">
        <f t="shared" si="1"/>
        <v>138553163</v>
      </c>
      <c r="X10" s="199">
        <f t="shared" si="2"/>
        <v>96.61940786455884</v>
      </c>
    </row>
    <row r="11" spans="1:24" ht="16.5" customHeight="1">
      <c r="A11" s="1"/>
      <c r="B11" s="200"/>
      <c r="C11" s="96"/>
      <c r="D11" s="96"/>
      <c r="E11" s="97"/>
      <c r="F11" s="97" t="s">
        <v>511</v>
      </c>
      <c r="G11" s="96"/>
      <c r="H11" s="201" t="s">
        <v>503</v>
      </c>
      <c r="I11" s="20">
        <v>2479266000</v>
      </c>
      <c r="J11" s="20">
        <v>1053696241</v>
      </c>
      <c r="K11" s="20">
        <v>154818152</v>
      </c>
      <c r="L11" s="20">
        <v>20666880</v>
      </c>
      <c r="M11" s="20">
        <v>12530534</v>
      </c>
      <c r="N11" s="20">
        <v>10576351</v>
      </c>
      <c r="O11" s="20">
        <v>12284448</v>
      </c>
      <c r="P11" s="20">
        <v>1131149765</v>
      </c>
      <c r="Q11" s="20">
        <v>103827698</v>
      </c>
      <c r="R11" s="20">
        <v>33821542</v>
      </c>
      <c r="S11" s="20">
        <v>0</v>
      </c>
      <c r="T11" s="20">
        <v>0</v>
      </c>
      <c r="U11" s="20">
        <v>0</v>
      </c>
      <c r="V11" s="20">
        <f aca="true" t="shared" si="6" ref="V11:V18">SUM(J11:U11)</f>
        <v>2533371611</v>
      </c>
      <c r="W11" s="225">
        <f t="shared" si="1"/>
        <v>-54105611</v>
      </c>
      <c r="X11" s="199">
        <f t="shared" si="2"/>
        <v>102.18232376033876</v>
      </c>
    </row>
    <row r="12" spans="1:24" ht="12.75">
      <c r="A12" s="1"/>
      <c r="B12" s="200"/>
      <c r="C12" s="96"/>
      <c r="D12" s="96"/>
      <c r="E12" s="97"/>
      <c r="F12" s="97" t="s">
        <v>512</v>
      </c>
      <c r="G12" s="96"/>
      <c r="H12" s="201" t="s">
        <v>504</v>
      </c>
      <c r="I12" s="20">
        <v>124853000</v>
      </c>
      <c r="J12" s="20">
        <v>55129999</v>
      </c>
      <c r="K12" s="20">
        <v>2608426</v>
      </c>
      <c r="L12" s="20">
        <v>939790</v>
      </c>
      <c r="M12" s="20">
        <v>239398</v>
      </c>
      <c r="N12" s="20">
        <v>343755</v>
      </c>
      <c r="O12" s="20">
        <v>101721</v>
      </c>
      <c r="P12" s="20">
        <v>50871105</v>
      </c>
      <c r="Q12" s="20">
        <v>1295865</v>
      </c>
      <c r="R12" s="20">
        <v>491778</v>
      </c>
      <c r="S12" s="20">
        <v>0</v>
      </c>
      <c r="T12" s="20">
        <v>0</v>
      </c>
      <c r="U12" s="20">
        <v>0</v>
      </c>
      <c r="V12" s="20">
        <f t="shared" si="6"/>
        <v>112021837</v>
      </c>
      <c r="W12" s="225">
        <f t="shared" si="1"/>
        <v>12831163</v>
      </c>
      <c r="X12" s="199">
        <f t="shared" si="2"/>
        <v>89.72298382898288</v>
      </c>
    </row>
    <row r="13" spans="1:24" ht="12.75">
      <c r="A13" s="1"/>
      <c r="B13" s="200"/>
      <c r="C13" s="96"/>
      <c r="D13" s="96"/>
      <c r="E13" s="97"/>
      <c r="F13" s="97" t="s">
        <v>513</v>
      </c>
      <c r="G13" s="96"/>
      <c r="H13" s="201" t="s">
        <v>505</v>
      </c>
      <c r="I13" s="20">
        <v>35178000</v>
      </c>
      <c r="J13" s="20">
        <v>7436067</v>
      </c>
      <c r="K13" s="20">
        <v>4205461</v>
      </c>
      <c r="L13" s="20">
        <v>2437944</v>
      </c>
      <c r="M13" s="20">
        <v>1044900</v>
      </c>
      <c r="N13" s="20">
        <v>663486</v>
      </c>
      <c r="O13" s="20">
        <v>580220</v>
      </c>
      <c r="P13" s="20">
        <v>8993423</v>
      </c>
      <c r="Q13" s="20">
        <v>4798896</v>
      </c>
      <c r="R13" s="20">
        <v>2001651</v>
      </c>
      <c r="S13" s="20">
        <v>0</v>
      </c>
      <c r="T13" s="20">
        <v>0</v>
      </c>
      <c r="U13" s="20">
        <v>0</v>
      </c>
      <c r="V13" s="20">
        <f t="shared" si="6"/>
        <v>32162048</v>
      </c>
      <c r="W13" s="225">
        <f t="shared" si="1"/>
        <v>3015952</v>
      </c>
      <c r="X13" s="199">
        <f t="shared" si="2"/>
        <v>91.42659616805958</v>
      </c>
    </row>
    <row r="14" spans="1:24" ht="12.75">
      <c r="A14" s="1"/>
      <c r="B14" s="200"/>
      <c r="C14" s="96"/>
      <c r="D14" s="96"/>
      <c r="E14" s="97"/>
      <c r="F14" s="97" t="s">
        <v>514</v>
      </c>
      <c r="G14" s="96"/>
      <c r="H14" s="201" t="s">
        <v>506</v>
      </c>
      <c r="I14" s="20">
        <v>68863000</v>
      </c>
      <c r="J14" s="20">
        <v>27068977</v>
      </c>
      <c r="K14" s="20">
        <v>5523437</v>
      </c>
      <c r="L14" s="20">
        <v>191028</v>
      </c>
      <c r="M14" s="20">
        <v>43587</v>
      </c>
      <c r="N14" s="20">
        <v>7184</v>
      </c>
      <c r="O14" s="20">
        <v>108161</v>
      </c>
      <c r="P14" s="20">
        <v>32586440</v>
      </c>
      <c r="Q14" s="20">
        <v>808817</v>
      </c>
      <c r="R14" s="20">
        <v>252389</v>
      </c>
      <c r="S14" s="20">
        <v>0</v>
      </c>
      <c r="T14" s="20">
        <v>0</v>
      </c>
      <c r="U14" s="20">
        <v>0</v>
      </c>
      <c r="V14" s="20">
        <f t="shared" si="6"/>
        <v>66590020</v>
      </c>
      <c r="W14" s="225">
        <f t="shared" si="1"/>
        <v>2272980</v>
      </c>
      <c r="X14" s="199">
        <f t="shared" si="2"/>
        <v>96.69927246852447</v>
      </c>
    </row>
    <row r="15" spans="1:24" ht="17.25" customHeight="1">
      <c r="A15" s="1"/>
      <c r="B15" s="200"/>
      <c r="C15" s="96"/>
      <c r="D15" s="96"/>
      <c r="E15" s="97"/>
      <c r="F15" s="97" t="s">
        <v>515</v>
      </c>
      <c r="G15" s="96"/>
      <c r="H15" s="201" t="s">
        <v>507</v>
      </c>
      <c r="I15" s="20">
        <v>98682000</v>
      </c>
      <c r="J15" s="20">
        <v>35854425</v>
      </c>
      <c r="K15" s="20">
        <v>5758323</v>
      </c>
      <c r="L15" s="20">
        <v>1419973</v>
      </c>
      <c r="M15" s="20">
        <v>272312</v>
      </c>
      <c r="N15" s="20">
        <v>156497</v>
      </c>
      <c r="O15" s="20">
        <v>546744</v>
      </c>
      <c r="P15" s="20">
        <v>39796480</v>
      </c>
      <c r="Q15" s="20">
        <v>3080310</v>
      </c>
      <c r="R15" s="20">
        <v>1265352</v>
      </c>
      <c r="S15" s="20">
        <v>0</v>
      </c>
      <c r="T15" s="20">
        <v>0</v>
      </c>
      <c r="U15" s="20">
        <v>0</v>
      </c>
      <c r="V15" s="20">
        <f t="shared" si="6"/>
        <v>88150416</v>
      </c>
      <c r="W15" s="225">
        <f t="shared" si="1"/>
        <v>10531584</v>
      </c>
      <c r="X15" s="199">
        <f t="shared" si="2"/>
        <v>89.3277558217304</v>
      </c>
    </row>
    <row r="16" spans="1:24" ht="18" customHeight="1">
      <c r="A16" s="1"/>
      <c r="B16" s="200"/>
      <c r="C16" s="96"/>
      <c r="D16" s="96"/>
      <c r="E16" s="97"/>
      <c r="F16" s="97" t="s">
        <v>516</v>
      </c>
      <c r="G16" s="96"/>
      <c r="H16" s="201" t="s">
        <v>508</v>
      </c>
      <c r="I16" s="20">
        <v>1291646000</v>
      </c>
      <c r="J16" s="20">
        <v>356215313</v>
      </c>
      <c r="K16" s="20">
        <v>104043962</v>
      </c>
      <c r="L16" s="20">
        <v>27190705</v>
      </c>
      <c r="M16" s="20">
        <v>17983029</v>
      </c>
      <c r="N16" s="20">
        <v>16646886</v>
      </c>
      <c r="O16" s="20">
        <v>38131161</v>
      </c>
      <c r="P16" s="20">
        <v>436740964</v>
      </c>
      <c r="Q16" s="20">
        <v>92901653</v>
      </c>
      <c r="R16" s="20">
        <v>37785232</v>
      </c>
      <c r="S16" s="20">
        <v>0</v>
      </c>
      <c r="T16" s="20">
        <v>0</v>
      </c>
      <c r="U16" s="20">
        <v>0</v>
      </c>
      <c r="V16" s="20">
        <f t="shared" si="6"/>
        <v>1127638905</v>
      </c>
      <c r="W16" s="225">
        <f t="shared" si="1"/>
        <v>164007095</v>
      </c>
      <c r="X16" s="199">
        <f t="shared" si="2"/>
        <v>87.30247335570273</v>
      </c>
    </row>
    <row r="17" spans="1:24" ht="12.75">
      <c r="A17" s="1"/>
      <c r="B17" s="200"/>
      <c r="C17" s="96"/>
      <c r="D17" s="96"/>
      <c r="E17" s="97"/>
      <c r="F17" s="97" t="s">
        <v>517</v>
      </c>
      <c r="G17" s="96"/>
      <c r="H17" s="201" t="s">
        <v>528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f t="shared" si="6"/>
        <v>0</v>
      </c>
      <c r="W17" s="225"/>
      <c r="X17" s="199"/>
    </row>
    <row r="18" spans="1:24" ht="13.5" customHeight="1">
      <c r="A18" s="1"/>
      <c r="B18" s="200"/>
      <c r="C18" s="96"/>
      <c r="D18" s="96"/>
      <c r="E18" s="97"/>
      <c r="F18" s="97" t="s">
        <v>518</v>
      </c>
      <c r="G18" s="96"/>
      <c r="H18" s="201" t="s">
        <v>529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f t="shared" si="6"/>
        <v>0</v>
      </c>
      <c r="W18" s="225"/>
      <c r="X18" s="199"/>
    </row>
    <row r="19" spans="1:24" ht="18.75" customHeight="1">
      <c r="A19" s="1"/>
      <c r="B19" s="91" t="s">
        <v>10</v>
      </c>
      <c r="C19" s="92" t="s">
        <v>12</v>
      </c>
      <c r="D19" s="92" t="s">
        <v>17</v>
      </c>
      <c r="E19" s="94"/>
      <c r="F19" s="94"/>
      <c r="G19" s="92"/>
      <c r="H19" s="198" t="s">
        <v>19</v>
      </c>
      <c r="I19" s="19">
        <f>SUM(I20:I22)</f>
        <v>1311613000</v>
      </c>
      <c r="J19" s="19">
        <f>SUM(J20:J22)</f>
        <v>128618932</v>
      </c>
      <c r="K19" s="19">
        <f aca="true" t="shared" si="7" ref="K19:U19">SUM(K20:K22)</f>
        <v>64593234</v>
      </c>
      <c r="L19" s="19">
        <f t="shared" si="7"/>
        <v>38572876</v>
      </c>
      <c r="M19" s="19">
        <f t="shared" si="7"/>
        <v>84181045</v>
      </c>
      <c r="N19" s="19">
        <f t="shared" si="7"/>
        <v>151956260</v>
      </c>
      <c r="O19" s="19">
        <f>SUM(O20:O22)</f>
        <v>79015356</v>
      </c>
      <c r="P19" s="19">
        <f t="shared" si="7"/>
        <v>184189920</v>
      </c>
      <c r="Q19" s="19">
        <f t="shared" si="7"/>
        <v>77292901</v>
      </c>
      <c r="R19" s="19">
        <f t="shared" si="7"/>
        <v>96241881</v>
      </c>
      <c r="S19" s="19">
        <f t="shared" si="7"/>
        <v>0</v>
      </c>
      <c r="T19" s="19">
        <f t="shared" si="7"/>
        <v>0</v>
      </c>
      <c r="U19" s="19">
        <f t="shared" si="7"/>
        <v>0</v>
      </c>
      <c r="V19" s="19">
        <f>SUM(V20:V22)</f>
        <v>904662405</v>
      </c>
      <c r="W19" s="225">
        <f aca="true" t="shared" si="8" ref="W19:W38">I19-V19</f>
        <v>406950595</v>
      </c>
      <c r="X19" s="199">
        <f aca="true" t="shared" si="9" ref="X19:X32">SUM(V19/I19)*100</f>
        <v>68.97327222282792</v>
      </c>
    </row>
    <row r="20" spans="1:24" ht="15.75" customHeight="1">
      <c r="A20" s="1"/>
      <c r="B20" s="200"/>
      <c r="C20" s="200"/>
      <c r="D20" s="96"/>
      <c r="E20" s="97"/>
      <c r="F20" s="97" t="s">
        <v>14</v>
      </c>
      <c r="G20" s="96"/>
      <c r="H20" s="201" t="s">
        <v>20</v>
      </c>
      <c r="I20" s="20">
        <v>630000000</v>
      </c>
      <c r="J20" s="20">
        <v>39704476</v>
      </c>
      <c r="K20" s="20">
        <v>17931242</v>
      </c>
      <c r="L20" s="20">
        <v>12466570</v>
      </c>
      <c r="M20" s="20">
        <v>15904378</v>
      </c>
      <c r="N20" s="20">
        <v>118114964</v>
      </c>
      <c r="O20" s="20">
        <v>31505439</v>
      </c>
      <c r="P20" s="20">
        <v>61938283</v>
      </c>
      <c r="Q20" s="20">
        <v>23359654</v>
      </c>
      <c r="R20" s="20">
        <v>15496092</v>
      </c>
      <c r="S20" s="20">
        <v>0</v>
      </c>
      <c r="T20" s="20">
        <v>0</v>
      </c>
      <c r="U20" s="20">
        <v>0</v>
      </c>
      <c r="V20" s="20">
        <f aca="true" t="shared" si="10" ref="V20:V37">SUM(J20:U20)</f>
        <v>336421098</v>
      </c>
      <c r="W20" s="225">
        <f t="shared" si="8"/>
        <v>293578902</v>
      </c>
      <c r="X20" s="199">
        <f t="shared" si="9"/>
        <v>53.400174285714286</v>
      </c>
    </row>
    <row r="21" spans="1:24" ht="12.75">
      <c r="A21" s="1"/>
      <c r="B21" s="200"/>
      <c r="C21" s="200"/>
      <c r="D21" s="96"/>
      <c r="E21" s="97"/>
      <c r="F21" s="97" t="s">
        <v>17</v>
      </c>
      <c r="G21" s="96"/>
      <c r="H21" s="201" t="s">
        <v>21</v>
      </c>
      <c r="I21" s="20">
        <v>311613000</v>
      </c>
      <c r="J21" s="20">
        <v>88698466</v>
      </c>
      <c r="K21" s="20">
        <v>46361252</v>
      </c>
      <c r="L21" s="20">
        <v>22972127</v>
      </c>
      <c r="M21" s="20">
        <v>10593996</v>
      </c>
      <c r="N21" s="20">
        <v>8481989</v>
      </c>
      <c r="O21" s="20">
        <v>6110551</v>
      </c>
      <c r="P21" s="20">
        <v>99916458</v>
      </c>
      <c r="Q21" s="20">
        <v>42663413</v>
      </c>
      <c r="R21" s="20">
        <v>17182679</v>
      </c>
      <c r="S21" s="20">
        <v>0</v>
      </c>
      <c r="T21" s="20">
        <v>0</v>
      </c>
      <c r="U21" s="20">
        <v>0</v>
      </c>
      <c r="V21" s="20">
        <f t="shared" si="10"/>
        <v>342980931</v>
      </c>
      <c r="W21" s="225">
        <f t="shared" si="8"/>
        <v>-31367931</v>
      </c>
      <c r="X21" s="199">
        <f t="shared" si="9"/>
        <v>110.06631013468629</v>
      </c>
    </row>
    <row r="22" spans="1:24" ht="15.75" customHeight="1">
      <c r="A22" s="1"/>
      <c r="B22" s="200"/>
      <c r="C22" s="200"/>
      <c r="D22" s="96"/>
      <c r="E22" s="97"/>
      <c r="F22" s="97" t="s">
        <v>22</v>
      </c>
      <c r="G22" s="96"/>
      <c r="H22" s="201" t="s">
        <v>23</v>
      </c>
      <c r="I22" s="20">
        <v>370000000</v>
      </c>
      <c r="J22" s="20">
        <v>215990</v>
      </c>
      <c r="K22" s="20">
        <v>300740</v>
      </c>
      <c r="L22" s="20">
        <v>3134179</v>
      </c>
      <c r="M22" s="20">
        <v>57682671</v>
      </c>
      <c r="N22" s="20">
        <v>25359307</v>
      </c>
      <c r="O22" s="20">
        <v>41399366</v>
      </c>
      <c r="P22" s="20">
        <v>22335179</v>
      </c>
      <c r="Q22" s="20">
        <v>11269834</v>
      </c>
      <c r="R22" s="20">
        <v>63563110</v>
      </c>
      <c r="S22" s="20">
        <v>0</v>
      </c>
      <c r="T22" s="20">
        <v>0</v>
      </c>
      <c r="U22" s="20">
        <v>0</v>
      </c>
      <c r="V22" s="20">
        <f t="shared" si="10"/>
        <v>225260376</v>
      </c>
      <c r="W22" s="225">
        <f t="shared" si="8"/>
        <v>144739624</v>
      </c>
      <c r="X22" s="199">
        <f t="shared" si="9"/>
        <v>60.88118270270271</v>
      </c>
    </row>
    <row r="23" spans="1:24" ht="15.75" customHeight="1">
      <c r="A23" s="1"/>
      <c r="B23" s="200"/>
      <c r="C23" s="200"/>
      <c r="D23" s="96"/>
      <c r="E23" s="97"/>
      <c r="F23" s="97"/>
      <c r="G23" s="96"/>
      <c r="H23" s="20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25"/>
      <c r="X23" s="199"/>
    </row>
    <row r="24" spans="1:24" ht="12.75">
      <c r="A24" s="1"/>
      <c r="B24" s="91" t="s">
        <v>10</v>
      </c>
      <c r="C24" s="92" t="s">
        <v>12</v>
      </c>
      <c r="D24" s="92" t="s">
        <v>22</v>
      </c>
      <c r="E24" s="94"/>
      <c r="F24" s="94"/>
      <c r="G24" s="92"/>
      <c r="H24" s="198" t="s">
        <v>24</v>
      </c>
      <c r="I24" s="19">
        <f>SUM(I25:I29)</f>
        <v>2371603000</v>
      </c>
      <c r="J24" s="19">
        <f>SUM(J25:J29)</f>
        <v>346274330</v>
      </c>
      <c r="K24" s="19">
        <f aca="true" t="shared" si="11" ref="K24:U24">SUM(K25:K29)</f>
        <v>217332977</v>
      </c>
      <c r="L24" s="19">
        <f t="shared" si="11"/>
        <v>140694297</v>
      </c>
      <c r="M24" s="19">
        <f t="shared" si="11"/>
        <v>134283327</v>
      </c>
      <c r="N24" s="19">
        <f t="shared" si="11"/>
        <v>100968544</v>
      </c>
      <c r="O24" s="19">
        <f>SUM(O25:O29)</f>
        <v>149209108</v>
      </c>
      <c r="P24" s="19">
        <f t="shared" si="11"/>
        <v>409968191</v>
      </c>
      <c r="Q24" s="19">
        <f t="shared" si="11"/>
        <v>154796710</v>
      </c>
      <c r="R24" s="19">
        <f t="shared" si="11"/>
        <v>244832188</v>
      </c>
      <c r="S24" s="19">
        <f t="shared" si="11"/>
        <v>0</v>
      </c>
      <c r="T24" s="19">
        <f t="shared" si="11"/>
        <v>0</v>
      </c>
      <c r="U24" s="19">
        <f t="shared" si="11"/>
        <v>0</v>
      </c>
      <c r="V24" s="19">
        <f>SUM(V25:V29)</f>
        <v>1898359672</v>
      </c>
      <c r="W24" s="225">
        <f t="shared" si="8"/>
        <v>473243328</v>
      </c>
      <c r="X24" s="199">
        <f t="shared" si="9"/>
        <v>80.04542379141871</v>
      </c>
    </row>
    <row r="25" spans="1:24" ht="14.25" customHeight="1">
      <c r="A25" s="1"/>
      <c r="B25" s="200"/>
      <c r="C25" s="96"/>
      <c r="D25" s="96"/>
      <c r="E25" s="97"/>
      <c r="F25" s="97" t="s">
        <v>14</v>
      </c>
      <c r="G25" s="96"/>
      <c r="H25" s="201" t="s">
        <v>25</v>
      </c>
      <c r="I25" s="20">
        <v>636304000</v>
      </c>
      <c r="J25" s="20">
        <f>31662138+2626005</f>
        <v>34288143</v>
      </c>
      <c r="K25" s="20">
        <v>18982798</v>
      </c>
      <c r="L25" s="20">
        <v>45288059</v>
      </c>
      <c r="M25" s="20">
        <v>26087326</v>
      </c>
      <c r="N25" s="20">
        <v>21386429</v>
      </c>
      <c r="O25" s="20">
        <v>62499015</v>
      </c>
      <c r="P25" s="20">
        <v>46136201</v>
      </c>
      <c r="Q25" s="20">
        <v>28525986</v>
      </c>
      <c r="R25" s="20">
        <v>90748932</v>
      </c>
      <c r="S25" s="20">
        <v>0</v>
      </c>
      <c r="T25" s="20">
        <v>0</v>
      </c>
      <c r="U25" s="20">
        <v>0</v>
      </c>
      <c r="V25" s="20">
        <f t="shared" si="10"/>
        <v>373942889</v>
      </c>
      <c r="W25" s="225">
        <f t="shared" si="8"/>
        <v>262361111</v>
      </c>
      <c r="X25" s="199">
        <f t="shared" si="9"/>
        <v>58.7679613832382</v>
      </c>
    </row>
    <row r="26" spans="1:24" ht="18" customHeight="1">
      <c r="A26" s="1"/>
      <c r="B26" s="200"/>
      <c r="C26" s="96"/>
      <c r="D26" s="96"/>
      <c r="E26" s="97"/>
      <c r="F26" s="97" t="s">
        <v>17</v>
      </c>
      <c r="G26" s="96"/>
      <c r="H26" s="201" t="s">
        <v>26</v>
      </c>
      <c r="I26" s="20">
        <v>149829000</v>
      </c>
      <c r="J26" s="20">
        <f>6707010+2143161+1094564+768000+344147</f>
        <v>11056882</v>
      </c>
      <c r="K26" s="20">
        <v>11686624</v>
      </c>
      <c r="L26" s="20">
        <v>24126206</v>
      </c>
      <c r="M26" s="20">
        <v>17466536</v>
      </c>
      <c r="N26" s="20">
        <v>13327162</v>
      </c>
      <c r="O26" s="20">
        <v>6824936</v>
      </c>
      <c r="P26" s="20">
        <v>14848070</v>
      </c>
      <c r="Q26" s="20">
        <v>13917239</v>
      </c>
      <c r="R26" s="20">
        <v>9416845</v>
      </c>
      <c r="S26" s="20">
        <v>0</v>
      </c>
      <c r="T26" s="20">
        <v>0</v>
      </c>
      <c r="U26" s="20">
        <v>0</v>
      </c>
      <c r="V26" s="20">
        <f t="shared" si="10"/>
        <v>122670500</v>
      </c>
      <c r="W26" s="225">
        <f t="shared" si="8"/>
        <v>27158500</v>
      </c>
      <c r="X26" s="199">
        <f t="shared" si="9"/>
        <v>81.87366931635398</v>
      </c>
    </row>
    <row r="27" spans="1:24" ht="12.75">
      <c r="A27" s="1"/>
      <c r="B27" s="200"/>
      <c r="C27" s="96"/>
      <c r="D27" s="96"/>
      <c r="E27" s="97"/>
      <c r="F27" s="97" t="s">
        <v>22</v>
      </c>
      <c r="G27" s="96"/>
      <c r="H27" s="201" t="s">
        <v>27</v>
      </c>
      <c r="I27" s="20">
        <v>535865000</v>
      </c>
      <c r="J27" s="20">
        <f>174900171+18509362</f>
        <v>193409533</v>
      </c>
      <c r="K27" s="20">
        <v>43714001</v>
      </c>
      <c r="L27" s="20">
        <v>6500163</v>
      </c>
      <c r="M27" s="20">
        <v>9579260</v>
      </c>
      <c r="N27" s="20">
        <v>3615679</v>
      </c>
      <c r="O27" s="20">
        <v>10840893</v>
      </c>
      <c r="P27" s="20">
        <v>214361161</v>
      </c>
      <c r="Q27" s="20">
        <v>26238764</v>
      </c>
      <c r="R27" s="20">
        <v>5529778</v>
      </c>
      <c r="S27" s="20">
        <v>0</v>
      </c>
      <c r="T27" s="20">
        <v>0</v>
      </c>
      <c r="U27" s="20">
        <v>0</v>
      </c>
      <c r="V27" s="20">
        <f t="shared" si="10"/>
        <v>513789232</v>
      </c>
      <c r="W27" s="225">
        <f t="shared" si="8"/>
        <v>22075768</v>
      </c>
      <c r="X27" s="199">
        <f t="shared" si="9"/>
        <v>95.88034896849021</v>
      </c>
    </row>
    <row r="28" spans="1:24" ht="12.75">
      <c r="A28" s="1"/>
      <c r="B28" s="200"/>
      <c r="C28" s="96"/>
      <c r="D28" s="96"/>
      <c r="E28" s="97"/>
      <c r="F28" s="97" t="s">
        <v>28</v>
      </c>
      <c r="G28" s="96"/>
      <c r="H28" s="201" t="s">
        <v>29</v>
      </c>
      <c r="I28" s="20">
        <v>638010000</v>
      </c>
      <c r="J28" s="20">
        <v>55892028</v>
      </c>
      <c r="K28" s="20">
        <v>112061598</v>
      </c>
      <c r="L28" s="20">
        <v>49545397</v>
      </c>
      <c r="M28" s="20">
        <v>58869086</v>
      </c>
      <c r="N28" s="20">
        <v>53421206</v>
      </c>
      <c r="O28" s="20">
        <v>60279664</v>
      </c>
      <c r="P28" s="20">
        <v>66341527</v>
      </c>
      <c r="Q28" s="20">
        <v>61356399</v>
      </c>
      <c r="R28" s="20">
        <v>60881499</v>
      </c>
      <c r="S28" s="20">
        <v>0</v>
      </c>
      <c r="T28" s="20">
        <v>0</v>
      </c>
      <c r="U28" s="20">
        <v>0</v>
      </c>
      <c r="V28" s="20">
        <f t="shared" si="10"/>
        <v>578648404</v>
      </c>
      <c r="W28" s="225">
        <f t="shared" si="8"/>
        <v>59361596</v>
      </c>
      <c r="X28" s="199">
        <f t="shared" si="9"/>
        <v>90.69582044168587</v>
      </c>
    </row>
    <row r="29" spans="1:24" ht="12.75">
      <c r="A29" s="1"/>
      <c r="B29" s="200"/>
      <c r="C29" s="96"/>
      <c r="D29" s="96"/>
      <c r="E29" s="97"/>
      <c r="F29" s="112" t="s">
        <v>30</v>
      </c>
      <c r="G29" s="106"/>
      <c r="H29" s="201" t="s">
        <v>31</v>
      </c>
      <c r="I29" s="20">
        <v>411595000</v>
      </c>
      <c r="J29" s="20">
        <f>5572443+9373417+1118290+75600+293760+215990+496772+3218547+23760+31239165</f>
        <v>51627744</v>
      </c>
      <c r="K29" s="20">
        <v>30887956</v>
      </c>
      <c r="L29" s="20">
        <v>15234472</v>
      </c>
      <c r="M29" s="20">
        <v>22281119</v>
      </c>
      <c r="N29" s="20">
        <v>9218068</v>
      </c>
      <c r="O29" s="20">
        <v>8764600</v>
      </c>
      <c r="P29" s="20">
        <v>68281232</v>
      </c>
      <c r="Q29" s="20">
        <v>24758322</v>
      </c>
      <c r="R29" s="20">
        <v>78255134</v>
      </c>
      <c r="S29" s="20">
        <v>0</v>
      </c>
      <c r="T29" s="20">
        <v>0</v>
      </c>
      <c r="U29" s="20">
        <v>0</v>
      </c>
      <c r="V29" s="20">
        <f t="shared" si="10"/>
        <v>309308647</v>
      </c>
      <c r="W29" s="225">
        <f t="shared" si="8"/>
        <v>102286353</v>
      </c>
      <c r="X29" s="199">
        <f t="shared" si="9"/>
        <v>75.14878630692793</v>
      </c>
    </row>
    <row r="30" spans="1:24" ht="12.75">
      <c r="A30" s="1"/>
      <c r="B30" s="200"/>
      <c r="C30" s="96"/>
      <c r="D30" s="96"/>
      <c r="E30" s="97"/>
      <c r="F30" s="112"/>
      <c r="G30" s="106"/>
      <c r="H30" s="20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25"/>
      <c r="X30" s="199"/>
    </row>
    <row r="31" spans="1:24" ht="16.5" customHeight="1">
      <c r="A31" s="1"/>
      <c r="B31" s="91" t="s">
        <v>10</v>
      </c>
      <c r="C31" s="92" t="s">
        <v>12</v>
      </c>
      <c r="D31" s="92" t="s">
        <v>28</v>
      </c>
      <c r="E31" s="94"/>
      <c r="F31" s="94"/>
      <c r="G31" s="92"/>
      <c r="H31" s="198" t="s">
        <v>32</v>
      </c>
      <c r="I31" s="19">
        <f>SUM(I32)</f>
        <v>240353000</v>
      </c>
      <c r="J31" s="19">
        <f aca="true" t="shared" si="12" ref="J31:U31">SUM(J32)</f>
        <v>40998194</v>
      </c>
      <c r="K31" s="19">
        <f t="shared" si="12"/>
        <v>2160000</v>
      </c>
      <c r="L31" s="19">
        <f t="shared" si="12"/>
        <v>27986607</v>
      </c>
      <c r="M31" s="19">
        <f t="shared" si="12"/>
        <v>18466342</v>
      </c>
      <c r="N31" s="19">
        <f t="shared" si="12"/>
        <v>17467405</v>
      </c>
      <c r="O31" s="19">
        <f t="shared" si="12"/>
        <v>18463371</v>
      </c>
      <c r="P31" s="19">
        <f t="shared" si="12"/>
        <v>16983832</v>
      </c>
      <c r="Q31" s="19">
        <f t="shared" si="12"/>
        <v>13143745</v>
      </c>
      <c r="R31" s="19">
        <f t="shared" si="12"/>
        <v>29535238</v>
      </c>
      <c r="S31" s="19">
        <f t="shared" si="12"/>
        <v>0</v>
      </c>
      <c r="T31" s="19">
        <f t="shared" si="12"/>
        <v>0</v>
      </c>
      <c r="U31" s="19">
        <f t="shared" si="12"/>
        <v>0</v>
      </c>
      <c r="V31" s="19">
        <f>SUM(V32)</f>
        <v>185204734</v>
      </c>
      <c r="W31" s="225">
        <f t="shared" si="8"/>
        <v>55148266</v>
      </c>
      <c r="X31" s="199">
        <f t="shared" si="9"/>
        <v>77.05530365753704</v>
      </c>
    </row>
    <row r="32" spans="1:24" ht="12.75">
      <c r="A32" s="1"/>
      <c r="B32" s="200"/>
      <c r="C32" s="96"/>
      <c r="D32" s="96" t="s">
        <v>28</v>
      </c>
      <c r="E32" s="97"/>
      <c r="F32" s="97" t="s">
        <v>14</v>
      </c>
      <c r="G32" s="96"/>
      <c r="H32" s="201" t="s">
        <v>33</v>
      </c>
      <c r="I32" s="20">
        <v>240353000</v>
      </c>
      <c r="J32" s="20">
        <f>1725080+1036800+2160000+24000001+11830169+246144</f>
        <v>40998194</v>
      </c>
      <c r="K32" s="20">
        <v>2160000</v>
      </c>
      <c r="L32" s="20">
        <v>27986607</v>
      </c>
      <c r="M32" s="20">
        <v>18466342</v>
      </c>
      <c r="N32" s="20">
        <v>17467405</v>
      </c>
      <c r="O32" s="20">
        <v>18463371</v>
      </c>
      <c r="P32" s="20">
        <v>16983832</v>
      </c>
      <c r="Q32" s="20">
        <v>13143745</v>
      </c>
      <c r="R32" s="20">
        <v>29535238</v>
      </c>
      <c r="S32" s="20">
        <v>0</v>
      </c>
      <c r="T32" s="20">
        <v>0</v>
      </c>
      <c r="U32" s="20">
        <v>0</v>
      </c>
      <c r="V32" s="20">
        <f t="shared" si="10"/>
        <v>185204734</v>
      </c>
      <c r="W32" s="225">
        <f t="shared" si="8"/>
        <v>55148266</v>
      </c>
      <c r="X32" s="199">
        <f t="shared" si="9"/>
        <v>77.05530365753704</v>
      </c>
    </row>
    <row r="33" spans="1:24" ht="12.75">
      <c r="A33" s="1"/>
      <c r="B33" s="91"/>
      <c r="C33" s="92"/>
      <c r="D33" s="92"/>
      <c r="E33" s="94"/>
      <c r="F33" s="94"/>
      <c r="G33" s="92"/>
      <c r="H33" s="198"/>
      <c r="I33" s="20"/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/>
      <c r="U33" s="20">
        <v>0</v>
      </c>
      <c r="V33" s="20"/>
      <c r="W33" s="225"/>
      <c r="X33" s="199"/>
    </row>
    <row r="34" spans="1:24" ht="12.75">
      <c r="A34" s="1"/>
      <c r="B34" s="86" t="s">
        <v>10</v>
      </c>
      <c r="C34" s="87" t="s">
        <v>35</v>
      </c>
      <c r="D34" s="87"/>
      <c r="E34" s="89"/>
      <c r="F34" s="195"/>
      <c r="G34" s="438"/>
      <c r="H34" s="196" t="s">
        <v>36</v>
      </c>
      <c r="I34" s="224">
        <f>SUM(I35+I38+I39)</f>
        <v>6323518000</v>
      </c>
      <c r="J34" s="224">
        <f>SUM(J35+J38+J39)</f>
        <v>121512150</v>
      </c>
      <c r="K34" s="224">
        <f aca="true" t="shared" si="13" ref="K34:U34">SUM(K35+K38+K39)</f>
        <v>253943645</v>
      </c>
      <c r="L34" s="224">
        <f t="shared" si="13"/>
        <v>3456586673</v>
      </c>
      <c r="M34" s="224">
        <f t="shared" si="13"/>
        <v>516601823</v>
      </c>
      <c r="N34" s="224">
        <f t="shared" si="13"/>
        <v>323251740</v>
      </c>
      <c r="O34" s="224">
        <f>SUM(O35+O38+O39)</f>
        <v>175444484</v>
      </c>
      <c r="P34" s="224">
        <f t="shared" si="13"/>
        <v>141072123</v>
      </c>
      <c r="Q34" s="224">
        <f t="shared" si="13"/>
        <v>569302565</v>
      </c>
      <c r="R34" s="224">
        <f t="shared" si="13"/>
        <v>494039873</v>
      </c>
      <c r="S34" s="224">
        <f t="shared" si="13"/>
        <v>0</v>
      </c>
      <c r="T34" s="224">
        <f t="shared" si="13"/>
        <v>0</v>
      </c>
      <c r="U34" s="224">
        <f t="shared" si="13"/>
        <v>0</v>
      </c>
      <c r="V34" s="224">
        <f>SUM(V35+V38+V39)</f>
        <v>6051755076</v>
      </c>
      <c r="W34" s="226">
        <f t="shared" si="8"/>
        <v>271762924</v>
      </c>
      <c r="X34" s="197">
        <f>SUM(V34/I34)*100</f>
        <v>95.70234600423372</v>
      </c>
    </row>
    <row r="35" spans="1:24" ht="12.75">
      <c r="A35" s="1"/>
      <c r="B35" s="91" t="s">
        <v>10</v>
      </c>
      <c r="C35" s="92" t="s">
        <v>35</v>
      </c>
      <c r="D35" s="92" t="s">
        <v>14</v>
      </c>
      <c r="E35" s="94"/>
      <c r="F35" s="94"/>
      <c r="G35" s="92"/>
      <c r="H35" s="198" t="s">
        <v>37</v>
      </c>
      <c r="I35" s="19">
        <f>SUM(I36:I37)</f>
        <v>5923843000</v>
      </c>
      <c r="J35" s="19">
        <f>SUM(J36:J37)</f>
        <v>83527907</v>
      </c>
      <c r="K35" s="19">
        <f aca="true" t="shared" si="14" ref="K35:U35">SUM(K36:K37)</f>
        <v>216384515</v>
      </c>
      <c r="L35" s="19">
        <f t="shared" si="14"/>
        <v>3418228085</v>
      </c>
      <c r="M35" s="19">
        <f t="shared" si="14"/>
        <v>485919538</v>
      </c>
      <c r="N35" s="19">
        <f t="shared" si="14"/>
        <v>294983766</v>
      </c>
      <c r="O35" s="19">
        <f>SUM(O36:O37)</f>
        <v>144947305</v>
      </c>
      <c r="P35" s="19">
        <f t="shared" si="14"/>
        <v>104826536</v>
      </c>
      <c r="Q35" s="19">
        <f t="shared" si="14"/>
        <v>535158601</v>
      </c>
      <c r="R35" s="19">
        <f t="shared" si="14"/>
        <v>461162234</v>
      </c>
      <c r="S35" s="19">
        <f t="shared" si="14"/>
        <v>0</v>
      </c>
      <c r="T35" s="19">
        <f t="shared" si="14"/>
        <v>0</v>
      </c>
      <c r="U35" s="19">
        <f t="shared" si="14"/>
        <v>0</v>
      </c>
      <c r="V35" s="20">
        <f t="shared" si="10"/>
        <v>5745138487</v>
      </c>
      <c r="W35" s="225">
        <f t="shared" si="8"/>
        <v>178704513</v>
      </c>
      <c r="X35" s="199">
        <f>SUM(V35/I35)*100</f>
        <v>96.98330099227816</v>
      </c>
    </row>
    <row r="36" spans="1:24" ht="16.5" customHeight="1">
      <c r="A36" s="1"/>
      <c r="B36" s="200"/>
      <c r="C36" s="96"/>
      <c r="D36" s="96"/>
      <c r="E36" s="97"/>
      <c r="F36" s="97" t="s">
        <v>14</v>
      </c>
      <c r="G36" s="96"/>
      <c r="H36" s="201" t="s">
        <v>16</v>
      </c>
      <c r="I36" s="20">
        <v>2221426000</v>
      </c>
      <c r="J36" s="20">
        <v>31323046</v>
      </c>
      <c r="K36" s="20">
        <v>81144341</v>
      </c>
      <c r="L36" s="20">
        <v>1281838987</v>
      </c>
      <c r="M36" s="20">
        <v>182219712</v>
      </c>
      <c r="N36" s="20">
        <v>110620609</v>
      </c>
      <c r="O36" s="20">
        <v>54355653</v>
      </c>
      <c r="P36" s="20">
        <v>39310217</v>
      </c>
      <c r="Q36" s="20">
        <v>200685143</v>
      </c>
      <c r="R36" s="20">
        <v>172937344</v>
      </c>
      <c r="S36" s="20">
        <v>0</v>
      </c>
      <c r="T36" s="20">
        <v>0</v>
      </c>
      <c r="U36" s="20">
        <v>0</v>
      </c>
      <c r="V36" s="20">
        <f t="shared" si="10"/>
        <v>2154435052</v>
      </c>
      <c r="W36" s="225">
        <f t="shared" si="8"/>
        <v>66990948</v>
      </c>
      <c r="X36" s="199">
        <f>SUM(V36/I36)*100</f>
        <v>96.98432682430115</v>
      </c>
    </row>
    <row r="37" spans="1:24" ht="12.75">
      <c r="A37" s="1"/>
      <c r="B37" s="200"/>
      <c r="C37" s="96"/>
      <c r="D37" s="96"/>
      <c r="E37" s="97"/>
      <c r="F37" s="97" t="s">
        <v>17</v>
      </c>
      <c r="G37" s="96"/>
      <c r="H37" s="201" t="s">
        <v>18</v>
      </c>
      <c r="I37" s="20">
        <v>3702417000</v>
      </c>
      <c r="J37" s="20">
        <v>52204861</v>
      </c>
      <c r="K37" s="20">
        <v>135240174</v>
      </c>
      <c r="L37" s="20">
        <v>2136389098</v>
      </c>
      <c r="M37" s="20">
        <v>303699826</v>
      </c>
      <c r="N37" s="20">
        <v>184363157</v>
      </c>
      <c r="O37" s="20">
        <v>90591652</v>
      </c>
      <c r="P37" s="20">
        <v>65516319</v>
      </c>
      <c r="Q37" s="20">
        <v>334473458</v>
      </c>
      <c r="R37" s="20">
        <v>288224890</v>
      </c>
      <c r="S37" s="20">
        <v>0</v>
      </c>
      <c r="T37" s="20">
        <v>0</v>
      </c>
      <c r="U37" s="20">
        <v>0</v>
      </c>
      <c r="V37" s="20">
        <f t="shared" si="10"/>
        <v>3590703435</v>
      </c>
      <c r="W37" s="225">
        <f t="shared" si="8"/>
        <v>111713565</v>
      </c>
      <c r="X37" s="199">
        <f>SUM(V37/I37)*100</f>
        <v>96.98268549976947</v>
      </c>
    </row>
    <row r="38" spans="1:24" ht="12.75">
      <c r="A38" s="1"/>
      <c r="B38" s="91" t="s">
        <v>10</v>
      </c>
      <c r="C38" s="92" t="s">
        <v>35</v>
      </c>
      <c r="D38" s="92" t="s">
        <v>17</v>
      </c>
      <c r="E38" s="94"/>
      <c r="F38" s="94"/>
      <c r="G38" s="92"/>
      <c r="H38" s="198" t="s">
        <v>38</v>
      </c>
      <c r="I38" s="20">
        <v>399675000</v>
      </c>
      <c r="J38" s="20">
        <v>37984243</v>
      </c>
      <c r="K38" s="20">
        <v>37559130</v>
      </c>
      <c r="L38" s="20">
        <v>38358588</v>
      </c>
      <c r="M38" s="20">
        <v>30682285</v>
      </c>
      <c r="N38" s="20">
        <v>28267974</v>
      </c>
      <c r="O38" s="20">
        <v>30497179</v>
      </c>
      <c r="P38" s="20">
        <v>36245587</v>
      </c>
      <c r="Q38" s="20">
        <v>34143964</v>
      </c>
      <c r="R38" s="20">
        <v>32877639</v>
      </c>
      <c r="S38" s="20">
        <v>0</v>
      </c>
      <c r="T38" s="20">
        <v>0</v>
      </c>
      <c r="U38" s="20">
        <v>0</v>
      </c>
      <c r="V38" s="20">
        <f>SUM(J38:U38)</f>
        <v>306616589</v>
      </c>
      <c r="W38" s="225">
        <f t="shared" si="8"/>
        <v>93058411</v>
      </c>
      <c r="X38" s="199">
        <f>SUM(V38/I38)*100</f>
        <v>76.71647938950397</v>
      </c>
    </row>
    <row r="39" spans="1:24" ht="18" customHeight="1">
      <c r="A39" s="1"/>
      <c r="B39" s="91" t="s">
        <v>10</v>
      </c>
      <c r="C39" s="92" t="s">
        <v>35</v>
      </c>
      <c r="D39" s="92" t="s">
        <v>30</v>
      </c>
      <c r="E39" s="94"/>
      <c r="F39" s="94"/>
      <c r="G39" s="92"/>
      <c r="H39" s="198" t="s">
        <v>31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f>SUM(J39:U39)</f>
        <v>0</v>
      </c>
      <c r="W39" s="225">
        <v>0</v>
      </c>
      <c r="X39" s="199">
        <v>0</v>
      </c>
    </row>
    <row r="40" spans="1:24" ht="24.75" customHeight="1">
      <c r="A40" s="1"/>
      <c r="B40" s="86" t="s">
        <v>10</v>
      </c>
      <c r="C40" s="87" t="s">
        <v>10</v>
      </c>
      <c r="D40" s="87"/>
      <c r="E40" s="89"/>
      <c r="F40" s="195"/>
      <c r="G40" s="438"/>
      <c r="H40" s="202" t="s">
        <v>39</v>
      </c>
      <c r="I40" s="227">
        <v>3932602000</v>
      </c>
      <c r="J40" s="227">
        <v>264200966</v>
      </c>
      <c r="K40" s="227">
        <v>21165809</v>
      </c>
      <c r="L40" s="227">
        <v>39328120</v>
      </c>
      <c r="M40" s="227">
        <v>54330816</v>
      </c>
      <c r="N40" s="227">
        <v>802430439</v>
      </c>
      <c r="O40" s="227">
        <v>131860099</v>
      </c>
      <c r="P40" s="227">
        <v>676223706</v>
      </c>
      <c r="Q40" s="227">
        <v>133729628</v>
      </c>
      <c r="R40" s="227">
        <v>75795397</v>
      </c>
      <c r="S40" s="227">
        <v>0</v>
      </c>
      <c r="T40" s="227">
        <v>0</v>
      </c>
      <c r="U40" s="227">
        <v>0</v>
      </c>
      <c r="V40" s="227">
        <f>SUM(J40:U40)</f>
        <v>2199064980</v>
      </c>
      <c r="W40" s="226">
        <f>I40-V40</f>
        <v>1733537020</v>
      </c>
      <c r="X40" s="197">
        <f>SUM(V40/I40)*100</f>
        <v>55.91882880596613</v>
      </c>
    </row>
    <row r="41" spans="1:24" ht="17.25" customHeight="1">
      <c r="A41" s="1"/>
      <c r="B41" s="86" t="s">
        <v>10</v>
      </c>
      <c r="C41" s="87" t="s">
        <v>40</v>
      </c>
      <c r="D41" s="87"/>
      <c r="E41" s="89"/>
      <c r="F41" s="195"/>
      <c r="G41" s="438"/>
      <c r="H41" s="196" t="s">
        <v>41</v>
      </c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6">
        <f>I41-V41</f>
        <v>0</v>
      </c>
      <c r="X41" s="197"/>
    </row>
    <row r="42" spans="1:24" ht="15.75" customHeight="1">
      <c r="A42" s="1"/>
      <c r="B42" s="200"/>
      <c r="C42" s="96"/>
      <c r="D42" s="96"/>
      <c r="E42" s="97"/>
      <c r="F42" s="97"/>
      <c r="G42" s="96"/>
      <c r="H42" s="198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225"/>
      <c r="X42" s="199"/>
    </row>
    <row r="43" spans="1:24" ht="15" customHeight="1">
      <c r="A43" s="1"/>
      <c r="B43" s="203" t="s">
        <v>42</v>
      </c>
      <c r="C43" s="191"/>
      <c r="D43" s="191"/>
      <c r="E43" s="434"/>
      <c r="F43" s="192"/>
      <c r="G43" s="439"/>
      <c r="H43" s="204" t="s">
        <v>43</v>
      </c>
      <c r="I43" s="222">
        <f>SUM(I44+I45)</f>
        <v>10496988000</v>
      </c>
      <c r="J43" s="222">
        <f aca="true" t="shared" si="15" ref="J43:U43">SUM(J44+J45)</f>
        <v>14256900</v>
      </c>
      <c r="K43" s="222">
        <f t="shared" si="15"/>
        <v>307947171</v>
      </c>
      <c r="L43" s="222">
        <f t="shared" si="15"/>
        <v>0</v>
      </c>
      <c r="M43" s="222">
        <f t="shared" si="15"/>
        <v>0</v>
      </c>
      <c r="N43" s="222">
        <f t="shared" si="15"/>
        <v>349158574</v>
      </c>
      <c r="O43" s="222">
        <f>SUM(O44+O45)</f>
        <v>203293215</v>
      </c>
      <c r="P43" s="222">
        <f t="shared" si="15"/>
        <v>7343762147</v>
      </c>
      <c r="Q43" s="222">
        <f t="shared" si="15"/>
        <v>1343260507</v>
      </c>
      <c r="R43" s="222">
        <f t="shared" si="15"/>
        <v>857146361</v>
      </c>
      <c r="S43" s="222">
        <f t="shared" si="15"/>
        <v>0</v>
      </c>
      <c r="T43" s="222">
        <f t="shared" si="15"/>
        <v>0</v>
      </c>
      <c r="U43" s="222">
        <f t="shared" si="15"/>
        <v>0</v>
      </c>
      <c r="V43" s="262">
        <f>SUM(J43:U43)</f>
        <v>10418824875</v>
      </c>
      <c r="W43" s="228">
        <f aca="true" t="shared" si="16" ref="W43:W58">I43-V43</f>
        <v>78163125</v>
      </c>
      <c r="X43" s="205">
        <f>SUM(V43/I43)*100</f>
        <v>99.25537568491076</v>
      </c>
    </row>
    <row r="44" spans="1:24" ht="15.75" customHeight="1">
      <c r="A44" s="1"/>
      <c r="B44" s="86" t="s">
        <v>42</v>
      </c>
      <c r="C44" s="87" t="s">
        <v>12</v>
      </c>
      <c r="D44" s="87"/>
      <c r="E44" s="89"/>
      <c r="F44" s="195"/>
      <c r="G44" s="438"/>
      <c r="H44" s="196" t="s">
        <v>44</v>
      </c>
      <c r="I44" s="227">
        <v>193179000</v>
      </c>
      <c r="J44" s="227">
        <v>0</v>
      </c>
      <c r="K44" s="227">
        <v>0</v>
      </c>
      <c r="L44" s="227">
        <v>0</v>
      </c>
      <c r="M44" s="227">
        <v>0</v>
      </c>
      <c r="N44" s="227">
        <v>4923769</v>
      </c>
      <c r="O44" s="227">
        <v>183660182</v>
      </c>
      <c r="P44" s="227">
        <v>744041</v>
      </c>
      <c r="Q44" s="227">
        <v>0</v>
      </c>
      <c r="R44" s="227">
        <v>0</v>
      </c>
      <c r="S44" s="227">
        <v>0</v>
      </c>
      <c r="T44" s="227">
        <v>0</v>
      </c>
      <c r="U44" s="227">
        <v>0</v>
      </c>
      <c r="V44" s="227">
        <f>SUM(J44:U44)</f>
        <v>189327992</v>
      </c>
      <c r="W44" s="226">
        <f t="shared" si="16"/>
        <v>3851008</v>
      </c>
      <c r="X44" s="197">
        <f>SUM(V44/I44)*100</f>
        <v>98.00650795376309</v>
      </c>
    </row>
    <row r="45" spans="1:24" ht="17.25" customHeight="1">
      <c r="A45" s="1"/>
      <c r="B45" s="86" t="s">
        <v>42</v>
      </c>
      <c r="C45" s="87" t="s">
        <v>10</v>
      </c>
      <c r="D45" s="87"/>
      <c r="E45" s="89"/>
      <c r="F45" s="195"/>
      <c r="G45" s="438"/>
      <c r="H45" s="196" t="s">
        <v>45</v>
      </c>
      <c r="I45" s="224">
        <f>SUM(I46+I47+I51+I52+I56)</f>
        <v>10303809000</v>
      </c>
      <c r="J45" s="224">
        <f aca="true" t="shared" si="17" ref="J45:O45">SUM(J46+J47+J51+J52+J56)</f>
        <v>14256900</v>
      </c>
      <c r="K45" s="224">
        <f t="shared" si="17"/>
        <v>307947171</v>
      </c>
      <c r="L45" s="224">
        <f t="shared" si="17"/>
        <v>0</v>
      </c>
      <c r="M45" s="224">
        <f t="shared" si="17"/>
        <v>0</v>
      </c>
      <c r="N45" s="224">
        <f t="shared" si="17"/>
        <v>344234805</v>
      </c>
      <c r="O45" s="224">
        <f t="shared" si="17"/>
        <v>19633033</v>
      </c>
      <c r="P45" s="224">
        <f aca="true" t="shared" si="18" ref="P45:U45">SUM(P46+P47+P51+P52+P56)</f>
        <v>7343018106</v>
      </c>
      <c r="Q45" s="224">
        <f t="shared" si="18"/>
        <v>1343260507</v>
      </c>
      <c r="R45" s="224">
        <f t="shared" si="18"/>
        <v>857146361</v>
      </c>
      <c r="S45" s="224">
        <f t="shared" si="18"/>
        <v>0</v>
      </c>
      <c r="T45" s="224">
        <f t="shared" si="18"/>
        <v>0</v>
      </c>
      <c r="U45" s="224">
        <f t="shared" si="18"/>
        <v>0</v>
      </c>
      <c r="V45" s="227">
        <f>SUM(J45:U45)</f>
        <v>10229496883</v>
      </c>
      <c r="W45" s="226">
        <f t="shared" si="16"/>
        <v>74312117</v>
      </c>
      <c r="X45" s="197">
        <v>0</v>
      </c>
    </row>
    <row r="46" spans="1:24" ht="12.75">
      <c r="A46" s="1"/>
      <c r="B46" s="109" t="s">
        <v>46</v>
      </c>
      <c r="C46" s="110" t="s">
        <v>10</v>
      </c>
      <c r="D46" s="110" t="s">
        <v>14</v>
      </c>
      <c r="E46" s="120"/>
      <c r="F46" s="120"/>
      <c r="G46" s="110"/>
      <c r="H46" s="206" t="s">
        <v>523</v>
      </c>
      <c r="I46" s="32">
        <v>0</v>
      </c>
      <c r="J46" s="32">
        <v>0</v>
      </c>
      <c r="K46" s="32">
        <v>0</v>
      </c>
      <c r="L46" s="32">
        <v>0</v>
      </c>
      <c r="M46" s="32"/>
      <c r="N46" s="32"/>
      <c r="O46" s="32"/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1">
        <f>SUM(J46:U46)</f>
        <v>0</v>
      </c>
      <c r="W46" s="225">
        <f t="shared" si="16"/>
        <v>0</v>
      </c>
      <c r="X46" s="199">
        <v>0</v>
      </c>
    </row>
    <row r="47" spans="1:24" ht="12.75">
      <c r="A47" s="1"/>
      <c r="B47" s="109" t="s">
        <v>46</v>
      </c>
      <c r="C47" s="110" t="s">
        <v>10</v>
      </c>
      <c r="D47" s="110" t="s">
        <v>17</v>
      </c>
      <c r="E47" s="120"/>
      <c r="F47" s="120"/>
      <c r="G47" s="110"/>
      <c r="H47" s="206" t="s">
        <v>47</v>
      </c>
      <c r="I47" s="19">
        <f>SUM(I48:I50)</f>
        <v>902495000</v>
      </c>
      <c r="J47" s="19">
        <f>SUM(J48:J50)</f>
        <v>14256900</v>
      </c>
      <c r="K47" s="19">
        <f>SUM(K48:K50)</f>
        <v>307947171</v>
      </c>
      <c r="L47" s="19">
        <f>SUM(L48:L50)</f>
        <v>0</v>
      </c>
      <c r="M47" s="19">
        <f aca="true" t="shared" si="19" ref="M47:U47">SUM(M48:M50)</f>
        <v>0</v>
      </c>
      <c r="N47" s="19">
        <f t="shared" si="19"/>
        <v>272343129</v>
      </c>
      <c r="O47" s="19">
        <f>SUM(O48:O50)</f>
        <v>0</v>
      </c>
      <c r="P47" s="19">
        <f t="shared" si="19"/>
        <v>0</v>
      </c>
      <c r="Q47" s="19">
        <f t="shared" si="19"/>
        <v>307947171</v>
      </c>
      <c r="R47" s="19">
        <f t="shared" si="19"/>
        <v>0</v>
      </c>
      <c r="S47" s="19">
        <f t="shared" si="19"/>
        <v>0</v>
      </c>
      <c r="T47" s="19">
        <f t="shared" si="19"/>
        <v>0</v>
      </c>
      <c r="U47" s="19">
        <f t="shared" si="19"/>
        <v>0</v>
      </c>
      <c r="V47" s="20">
        <f>SUM(J47:U47)</f>
        <v>902494371</v>
      </c>
      <c r="W47" s="225">
        <f t="shared" si="16"/>
        <v>629</v>
      </c>
      <c r="X47" s="199">
        <f>SUM(V47/I47)*100</f>
        <v>99.99993030432302</v>
      </c>
    </row>
    <row r="48" spans="1:24" ht="12.75">
      <c r="A48" s="1"/>
      <c r="B48" s="207"/>
      <c r="C48" s="106"/>
      <c r="D48" s="106"/>
      <c r="E48" s="112" t="s">
        <v>30</v>
      </c>
      <c r="F48" s="112" t="s">
        <v>14</v>
      </c>
      <c r="G48" s="106"/>
      <c r="H48" s="208" t="s">
        <v>668</v>
      </c>
      <c r="I48" s="20">
        <v>272344000</v>
      </c>
      <c r="J48" s="20">
        <v>0</v>
      </c>
      <c r="K48" s="20">
        <v>0</v>
      </c>
      <c r="L48" s="20">
        <v>0</v>
      </c>
      <c r="M48" s="20">
        <v>0</v>
      </c>
      <c r="N48" s="20">
        <v>272343129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f aca="true" t="shared" si="20" ref="V48:V58">SUM(J48:U48)</f>
        <v>272343129</v>
      </c>
      <c r="W48" s="225">
        <f t="shared" si="16"/>
        <v>871</v>
      </c>
      <c r="X48" s="199">
        <v>0</v>
      </c>
    </row>
    <row r="49" spans="1:24" ht="12.75">
      <c r="A49" s="1"/>
      <c r="B49" s="207"/>
      <c r="C49" s="106"/>
      <c r="D49" s="106"/>
      <c r="E49" s="112"/>
      <c r="F49" s="112" t="s">
        <v>17</v>
      </c>
      <c r="G49" s="106"/>
      <c r="H49" s="208" t="s">
        <v>555</v>
      </c>
      <c r="I49" s="20">
        <v>615894000</v>
      </c>
      <c r="J49" s="20">
        <v>0</v>
      </c>
      <c r="K49" s="20">
        <v>307947171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307947171</v>
      </c>
      <c r="R49" s="20">
        <v>0</v>
      </c>
      <c r="S49" s="20">
        <v>0</v>
      </c>
      <c r="T49" s="20">
        <v>0</v>
      </c>
      <c r="U49" s="20">
        <v>0</v>
      </c>
      <c r="V49" s="20">
        <f t="shared" si="20"/>
        <v>615894342</v>
      </c>
      <c r="W49" s="225">
        <f t="shared" si="16"/>
        <v>-342</v>
      </c>
      <c r="X49" s="199">
        <v>0</v>
      </c>
    </row>
    <row r="50" spans="1:24" ht="12.75">
      <c r="A50" s="1"/>
      <c r="B50" s="207"/>
      <c r="C50" s="106"/>
      <c r="D50" s="106"/>
      <c r="E50" s="112"/>
      <c r="F50" s="112" t="s">
        <v>22</v>
      </c>
      <c r="G50" s="106"/>
      <c r="H50" s="208" t="s">
        <v>669</v>
      </c>
      <c r="I50" s="20">
        <v>14257000</v>
      </c>
      <c r="J50" s="20">
        <v>14256900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f t="shared" si="20"/>
        <v>14256900</v>
      </c>
      <c r="W50" s="225">
        <f t="shared" si="16"/>
        <v>100</v>
      </c>
      <c r="X50" s="199">
        <f>SUM(V50/I50)*100</f>
        <v>99.99929859016623</v>
      </c>
    </row>
    <row r="51" spans="1:24" ht="12.75">
      <c r="A51" s="1"/>
      <c r="B51" s="207"/>
      <c r="C51" s="106"/>
      <c r="D51" s="110" t="s">
        <v>57</v>
      </c>
      <c r="E51" s="112" t="s">
        <v>14</v>
      </c>
      <c r="F51" s="112"/>
      <c r="G51" s="106"/>
      <c r="H51" s="208" t="s">
        <v>670</v>
      </c>
      <c r="I51" s="20">
        <v>9237907000</v>
      </c>
      <c r="J51" s="20"/>
      <c r="K51" s="20"/>
      <c r="L51" s="20"/>
      <c r="M51" s="20"/>
      <c r="N51" s="20"/>
      <c r="O51" s="20"/>
      <c r="P51" s="20">
        <v>7343018106</v>
      </c>
      <c r="Q51" s="20">
        <v>963432629</v>
      </c>
      <c r="R51" s="20">
        <v>857146361</v>
      </c>
      <c r="S51" s="20"/>
      <c r="T51" s="20"/>
      <c r="U51" s="20"/>
      <c r="V51" s="20">
        <f t="shared" si="20"/>
        <v>9163597096</v>
      </c>
      <c r="W51" s="225">
        <f t="shared" si="16"/>
        <v>74309904</v>
      </c>
      <c r="X51" s="199"/>
    </row>
    <row r="52" spans="1:24" ht="12.75">
      <c r="A52" s="1"/>
      <c r="B52" s="109"/>
      <c r="C52" s="110"/>
      <c r="D52" s="110" t="s">
        <v>61</v>
      </c>
      <c r="E52" s="120"/>
      <c r="F52" s="112"/>
      <c r="G52" s="106"/>
      <c r="H52" s="206" t="s">
        <v>62</v>
      </c>
      <c r="I52" s="32">
        <f>+I53+I54+I55</f>
        <v>163407000</v>
      </c>
      <c r="J52" s="32">
        <f>+J53+J54+J55</f>
        <v>0</v>
      </c>
      <c r="K52" s="32">
        <f>+K53+K54+K55</f>
        <v>0</v>
      </c>
      <c r="L52" s="32">
        <f>+L53+L54+L55</f>
        <v>0</v>
      </c>
      <c r="M52" s="32">
        <f aca="true" t="shared" si="21" ref="M52:U52">+M53+M54+M55</f>
        <v>0</v>
      </c>
      <c r="N52" s="32">
        <f t="shared" si="21"/>
        <v>71891676</v>
      </c>
      <c r="O52" s="32">
        <f>+O53+O54+O55</f>
        <v>19633033</v>
      </c>
      <c r="P52" s="32">
        <f t="shared" si="21"/>
        <v>0</v>
      </c>
      <c r="Q52" s="32">
        <f t="shared" si="21"/>
        <v>71880707</v>
      </c>
      <c r="R52" s="32">
        <f t="shared" si="21"/>
        <v>0</v>
      </c>
      <c r="S52" s="32">
        <f t="shared" si="21"/>
        <v>0</v>
      </c>
      <c r="T52" s="32">
        <f t="shared" si="21"/>
        <v>0</v>
      </c>
      <c r="U52" s="32">
        <f t="shared" si="21"/>
        <v>0</v>
      </c>
      <c r="V52" s="20">
        <f t="shared" si="20"/>
        <v>163405416</v>
      </c>
      <c r="W52" s="225">
        <f t="shared" si="16"/>
        <v>1584</v>
      </c>
      <c r="X52" s="199">
        <v>0</v>
      </c>
    </row>
    <row r="53" spans="1:24" ht="12.75">
      <c r="A53" s="1"/>
      <c r="B53" s="207"/>
      <c r="C53" s="106"/>
      <c r="D53" s="106"/>
      <c r="E53" s="112"/>
      <c r="F53" s="112" t="s">
        <v>17</v>
      </c>
      <c r="G53" s="106"/>
      <c r="H53" s="208" t="s">
        <v>534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f t="shared" si="20"/>
        <v>0</v>
      </c>
      <c r="W53" s="225">
        <f t="shared" si="16"/>
        <v>0</v>
      </c>
      <c r="X53" s="199">
        <v>0</v>
      </c>
    </row>
    <row r="54" spans="1:24" ht="12.75">
      <c r="A54" s="1"/>
      <c r="B54" s="207"/>
      <c r="C54" s="106"/>
      <c r="D54" s="106"/>
      <c r="E54" s="112"/>
      <c r="F54" s="112" t="s">
        <v>28</v>
      </c>
      <c r="G54" s="106"/>
      <c r="H54" s="208" t="s">
        <v>536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19633033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f t="shared" si="20"/>
        <v>19633033</v>
      </c>
      <c r="W54" s="225">
        <f t="shared" si="16"/>
        <v>-19633033</v>
      </c>
      <c r="X54" s="199">
        <v>0</v>
      </c>
    </row>
    <row r="55" spans="1:24" ht="12.75">
      <c r="A55" s="1"/>
      <c r="B55" s="207"/>
      <c r="C55" s="106"/>
      <c r="D55" s="106"/>
      <c r="E55" s="112"/>
      <c r="F55" s="112" t="s">
        <v>30</v>
      </c>
      <c r="G55" s="106"/>
      <c r="H55" s="208" t="s">
        <v>539</v>
      </c>
      <c r="I55" s="20">
        <v>163407000</v>
      </c>
      <c r="J55" s="20">
        <v>0</v>
      </c>
      <c r="K55" s="20">
        <v>0</v>
      </c>
      <c r="L55" s="20">
        <v>0</v>
      </c>
      <c r="M55" s="20">
        <v>0</v>
      </c>
      <c r="N55" s="20">
        <v>71891676</v>
      </c>
      <c r="O55" s="20">
        <v>0</v>
      </c>
      <c r="P55" s="20">
        <v>0</v>
      </c>
      <c r="Q55" s="20">
        <v>71880707</v>
      </c>
      <c r="R55" s="20">
        <v>0</v>
      </c>
      <c r="S55" s="20">
        <v>0</v>
      </c>
      <c r="T55" s="20">
        <v>0</v>
      </c>
      <c r="U55" s="20">
        <v>0</v>
      </c>
      <c r="V55" s="20">
        <f t="shared" si="20"/>
        <v>143772383</v>
      </c>
      <c r="W55" s="225">
        <f t="shared" si="16"/>
        <v>19634617</v>
      </c>
      <c r="X55" s="199">
        <v>0</v>
      </c>
    </row>
    <row r="56" spans="1:24" ht="12.75">
      <c r="A56" s="1"/>
      <c r="B56" s="109"/>
      <c r="C56" s="110"/>
      <c r="D56" s="110" t="s">
        <v>429</v>
      </c>
      <c r="E56" s="120"/>
      <c r="F56" s="120"/>
      <c r="G56" s="110"/>
      <c r="H56" s="206" t="s">
        <v>68</v>
      </c>
      <c r="I56" s="31">
        <v>0</v>
      </c>
      <c r="J56" s="20">
        <f aca="true" t="shared" si="22" ref="J56:U56">+J58</f>
        <v>0</v>
      </c>
      <c r="K56" s="20">
        <f t="shared" si="22"/>
        <v>0</v>
      </c>
      <c r="L56" s="20">
        <f t="shared" si="22"/>
        <v>0</v>
      </c>
      <c r="M56" s="20">
        <f t="shared" si="22"/>
        <v>0</v>
      </c>
      <c r="N56" s="20">
        <f t="shared" si="22"/>
        <v>0</v>
      </c>
      <c r="O56" s="20">
        <f>+O58</f>
        <v>0</v>
      </c>
      <c r="P56" s="20">
        <f t="shared" si="22"/>
        <v>0</v>
      </c>
      <c r="Q56" s="20">
        <f t="shared" si="22"/>
        <v>0</v>
      </c>
      <c r="R56" s="20">
        <f t="shared" si="22"/>
        <v>0</v>
      </c>
      <c r="S56" s="20">
        <f t="shared" si="22"/>
        <v>0</v>
      </c>
      <c r="T56" s="20">
        <f t="shared" si="22"/>
        <v>0</v>
      </c>
      <c r="U56" s="20">
        <f t="shared" si="22"/>
        <v>0</v>
      </c>
      <c r="V56" s="20">
        <f t="shared" si="20"/>
        <v>0</v>
      </c>
      <c r="W56" s="225">
        <f t="shared" si="16"/>
        <v>0</v>
      </c>
      <c r="X56" s="199">
        <v>0</v>
      </c>
    </row>
    <row r="57" spans="1:24" ht="12.75" hidden="1">
      <c r="A57" s="1"/>
      <c r="B57" s="86" t="s">
        <v>42</v>
      </c>
      <c r="C57" s="87" t="s">
        <v>78</v>
      </c>
      <c r="D57" s="87"/>
      <c r="E57" s="89"/>
      <c r="F57" s="89"/>
      <c r="G57" s="87"/>
      <c r="H57" s="196" t="s">
        <v>79</v>
      </c>
      <c r="I57" s="229"/>
      <c r="J57" s="229">
        <v>0</v>
      </c>
      <c r="K57" s="229">
        <v>0</v>
      </c>
      <c r="L57" s="229">
        <v>0</v>
      </c>
      <c r="M57" s="229">
        <v>0</v>
      </c>
      <c r="N57" s="229">
        <v>0</v>
      </c>
      <c r="O57" s="229">
        <v>0</v>
      </c>
      <c r="P57" s="229">
        <v>0</v>
      </c>
      <c r="Q57" s="229">
        <v>0</v>
      </c>
      <c r="R57" s="229">
        <v>0</v>
      </c>
      <c r="S57" s="229">
        <v>0</v>
      </c>
      <c r="T57" s="229">
        <v>0</v>
      </c>
      <c r="U57" s="229">
        <v>0</v>
      </c>
      <c r="V57" s="229">
        <f t="shared" si="20"/>
        <v>0</v>
      </c>
      <c r="W57" s="230">
        <f t="shared" si="16"/>
        <v>0</v>
      </c>
      <c r="X57" s="199">
        <v>0</v>
      </c>
    </row>
    <row r="58" spans="1:24" ht="12.75" hidden="1">
      <c r="A58" s="1"/>
      <c r="B58" s="109"/>
      <c r="C58" s="110"/>
      <c r="D58" s="110"/>
      <c r="E58" s="120"/>
      <c r="F58" s="112" t="s">
        <v>54</v>
      </c>
      <c r="G58" s="106"/>
      <c r="H58" s="220" t="s">
        <v>541</v>
      </c>
      <c r="I58" s="20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20">
        <f t="shared" si="20"/>
        <v>0</v>
      </c>
      <c r="W58" s="225">
        <f t="shared" si="16"/>
        <v>0</v>
      </c>
      <c r="X58" s="199">
        <v>0</v>
      </c>
    </row>
    <row r="59" spans="1:24" ht="12.75">
      <c r="A59" s="1"/>
      <c r="B59" s="109"/>
      <c r="C59" s="110"/>
      <c r="D59" s="110"/>
      <c r="E59" s="120"/>
      <c r="F59" s="112"/>
      <c r="G59" s="106"/>
      <c r="H59" s="220"/>
      <c r="I59" s="3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20"/>
      <c r="W59" s="225"/>
      <c r="X59" s="199"/>
    </row>
    <row r="60" spans="1:24" ht="12.75">
      <c r="A60" s="1"/>
      <c r="B60" s="203" t="s">
        <v>76</v>
      </c>
      <c r="C60" s="191"/>
      <c r="D60" s="191"/>
      <c r="E60" s="434"/>
      <c r="F60" s="192"/>
      <c r="G60" s="439"/>
      <c r="H60" s="204" t="s">
        <v>80</v>
      </c>
      <c r="I60" s="222">
        <f>+I61+I62</f>
        <v>66694000</v>
      </c>
      <c r="J60" s="222">
        <f>+J61+J62</f>
        <v>19510365</v>
      </c>
      <c r="K60" s="222">
        <f>+K61+K62</f>
        <v>4070229</v>
      </c>
      <c r="L60" s="222">
        <f>+L61+L62</f>
        <v>9276702</v>
      </c>
      <c r="M60" s="222">
        <f aca="true" t="shared" si="23" ref="M60:U60">+M61+M62</f>
        <v>6038874</v>
      </c>
      <c r="N60" s="222">
        <f t="shared" si="23"/>
        <v>2636344</v>
      </c>
      <c r="O60" s="222">
        <f>+O61+O62</f>
        <v>7052600</v>
      </c>
      <c r="P60" s="222">
        <f t="shared" si="23"/>
        <v>3315188</v>
      </c>
      <c r="Q60" s="222">
        <f t="shared" si="23"/>
        <v>2591019</v>
      </c>
      <c r="R60" s="222">
        <f t="shared" si="23"/>
        <v>3267616</v>
      </c>
      <c r="S60" s="222">
        <f t="shared" si="23"/>
        <v>0</v>
      </c>
      <c r="T60" s="222">
        <f t="shared" si="23"/>
        <v>0</v>
      </c>
      <c r="U60" s="222">
        <f t="shared" si="23"/>
        <v>0</v>
      </c>
      <c r="V60" s="222">
        <f>+V61+V62</f>
        <v>57758937</v>
      </c>
      <c r="W60" s="228">
        <f>I60-V60</f>
        <v>8935063</v>
      </c>
      <c r="X60" s="205">
        <f>SUM(V60/I60)*100</f>
        <v>86.60289831169221</v>
      </c>
    </row>
    <row r="61" spans="1:24" ht="12.75">
      <c r="A61" s="1"/>
      <c r="B61" s="86" t="s">
        <v>76</v>
      </c>
      <c r="C61" s="87" t="s">
        <v>12</v>
      </c>
      <c r="D61" s="87"/>
      <c r="E61" s="89"/>
      <c r="F61" s="195"/>
      <c r="G61" s="438"/>
      <c r="H61" s="196" t="s">
        <v>81</v>
      </c>
      <c r="I61" s="227">
        <v>62275000</v>
      </c>
      <c r="J61" s="227">
        <v>19510365</v>
      </c>
      <c r="K61" s="227">
        <v>4070229</v>
      </c>
      <c r="L61" s="227">
        <v>4858328</v>
      </c>
      <c r="M61" s="227">
        <v>6038874</v>
      </c>
      <c r="N61" s="227">
        <v>2636344</v>
      </c>
      <c r="O61" s="227">
        <v>7052600</v>
      </c>
      <c r="P61" s="227">
        <v>3315188</v>
      </c>
      <c r="Q61" s="227">
        <v>2591019</v>
      </c>
      <c r="R61" s="227">
        <v>3267616</v>
      </c>
      <c r="S61" s="227">
        <v>0</v>
      </c>
      <c r="T61" s="227">
        <v>0</v>
      </c>
      <c r="U61" s="227">
        <v>0</v>
      </c>
      <c r="V61" s="229">
        <f>SUM(J61:U61)</f>
        <v>53340563</v>
      </c>
      <c r="W61" s="226">
        <f>I61-V61</f>
        <v>8934437</v>
      </c>
      <c r="X61" s="197">
        <f>SUM(V61/I61)*100</f>
        <v>85.65325250903251</v>
      </c>
    </row>
    <row r="62" spans="1:24" ht="12.75">
      <c r="A62" s="1"/>
      <c r="B62" s="86" t="s">
        <v>76</v>
      </c>
      <c r="C62" s="87" t="s">
        <v>10</v>
      </c>
      <c r="D62" s="87"/>
      <c r="E62" s="89"/>
      <c r="F62" s="195"/>
      <c r="G62" s="438"/>
      <c r="H62" s="196" t="s">
        <v>648</v>
      </c>
      <c r="I62" s="227">
        <v>4419000</v>
      </c>
      <c r="J62" s="227"/>
      <c r="K62" s="227"/>
      <c r="L62" s="227">
        <v>4418374</v>
      </c>
      <c r="M62" s="227"/>
      <c r="N62" s="227"/>
      <c r="O62" s="227"/>
      <c r="P62" s="227"/>
      <c r="Q62" s="227"/>
      <c r="R62" s="227"/>
      <c r="S62" s="227"/>
      <c r="T62" s="227"/>
      <c r="U62" s="227"/>
      <c r="V62" s="229">
        <f>SUM(J62:U62)</f>
        <v>4418374</v>
      </c>
      <c r="W62" s="226">
        <f>I62-V62</f>
        <v>626</v>
      </c>
      <c r="X62" s="197">
        <f>SUM(V62/I62)*100</f>
        <v>99.98583389907219</v>
      </c>
    </row>
    <row r="63" spans="1:24" ht="12.75">
      <c r="A63" s="1"/>
      <c r="B63" s="91"/>
      <c r="C63" s="92"/>
      <c r="D63" s="92"/>
      <c r="E63" s="94"/>
      <c r="F63" s="97"/>
      <c r="G63" s="96"/>
      <c r="H63" s="198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225"/>
      <c r="X63" s="199"/>
    </row>
    <row r="64" spans="1:24" ht="12.75">
      <c r="A64" s="1"/>
      <c r="B64" s="203" t="s">
        <v>78</v>
      </c>
      <c r="C64" s="191"/>
      <c r="D64" s="191"/>
      <c r="E64" s="434"/>
      <c r="F64" s="192"/>
      <c r="G64" s="439"/>
      <c r="H64" s="204" t="s">
        <v>86</v>
      </c>
      <c r="I64" s="222">
        <f>SUM(I65+I66)</f>
        <v>60068000</v>
      </c>
      <c r="J64" s="222">
        <f>SUM(J65+J66)</f>
        <v>21909000</v>
      </c>
      <c r="K64" s="222">
        <f aca="true" t="shared" si="24" ref="K64:U64">SUM(K65+K66)</f>
        <v>9550500</v>
      </c>
      <c r="L64" s="222">
        <f t="shared" si="24"/>
        <v>1042500</v>
      </c>
      <c r="M64" s="222">
        <f t="shared" si="24"/>
        <v>1057000</v>
      </c>
      <c r="N64" s="222">
        <f>SUM(N65+N66)</f>
        <v>1174100</v>
      </c>
      <c r="O64" s="222">
        <f>SUM(O65+O66)</f>
        <v>1763000</v>
      </c>
      <c r="P64" s="222">
        <f t="shared" si="24"/>
        <v>924500</v>
      </c>
      <c r="Q64" s="222">
        <f t="shared" si="24"/>
        <v>585000</v>
      </c>
      <c r="R64" s="222">
        <f t="shared" si="24"/>
        <v>1743500</v>
      </c>
      <c r="S64" s="222">
        <f t="shared" si="24"/>
        <v>0</v>
      </c>
      <c r="T64" s="222">
        <f t="shared" si="24"/>
        <v>0</v>
      </c>
      <c r="U64" s="222">
        <f t="shared" si="24"/>
        <v>0</v>
      </c>
      <c r="V64" s="222">
        <f>SUM(V65+V66)</f>
        <v>39749100</v>
      </c>
      <c r="W64" s="228">
        <f>I64-V64</f>
        <v>20318900</v>
      </c>
      <c r="X64" s="205">
        <f>SUM(V64/I64)*100</f>
        <v>66.17350336285543</v>
      </c>
    </row>
    <row r="65" spans="1:24" ht="12.75">
      <c r="A65" s="1"/>
      <c r="B65" s="86" t="s">
        <v>78</v>
      </c>
      <c r="C65" s="87" t="s">
        <v>12</v>
      </c>
      <c r="D65" s="87"/>
      <c r="E65" s="89"/>
      <c r="F65" s="195"/>
      <c r="G65" s="438"/>
      <c r="H65" s="196" t="s">
        <v>87</v>
      </c>
      <c r="I65" s="227"/>
      <c r="J65" s="227">
        <v>0</v>
      </c>
      <c r="K65" s="227">
        <v>0</v>
      </c>
      <c r="L65" s="227">
        <v>0</v>
      </c>
      <c r="M65" s="227">
        <v>0</v>
      </c>
      <c r="N65" s="227">
        <v>0</v>
      </c>
      <c r="O65" s="227">
        <v>0</v>
      </c>
      <c r="P65" s="227">
        <v>0</v>
      </c>
      <c r="Q65" s="227">
        <v>0</v>
      </c>
      <c r="R65" s="227">
        <v>0</v>
      </c>
      <c r="S65" s="227">
        <v>0</v>
      </c>
      <c r="T65" s="227">
        <v>0</v>
      </c>
      <c r="U65" s="227">
        <v>0</v>
      </c>
      <c r="V65" s="229">
        <f>SUM(J65:U65)</f>
        <v>0</v>
      </c>
      <c r="W65" s="226">
        <f>I65-V65</f>
        <v>0</v>
      </c>
      <c r="X65" s="197"/>
    </row>
    <row r="66" spans="1:24" ht="12.75">
      <c r="A66" s="1"/>
      <c r="B66" s="86" t="s">
        <v>78</v>
      </c>
      <c r="C66" s="87" t="s">
        <v>35</v>
      </c>
      <c r="D66" s="87"/>
      <c r="E66" s="89"/>
      <c r="F66" s="195"/>
      <c r="G66" s="438"/>
      <c r="H66" s="196" t="s">
        <v>88</v>
      </c>
      <c r="I66" s="227">
        <v>60068000</v>
      </c>
      <c r="J66" s="227">
        <v>21909000</v>
      </c>
      <c r="K66" s="227">
        <v>9550500</v>
      </c>
      <c r="L66" s="227">
        <v>1042500</v>
      </c>
      <c r="M66" s="227">
        <v>1057000</v>
      </c>
      <c r="N66" s="227">
        <v>1174100</v>
      </c>
      <c r="O66" s="227">
        <v>1763000</v>
      </c>
      <c r="P66" s="227">
        <v>924500</v>
      </c>
      <c r="Q66" s="227">
        <v>585000</v>
      </c>
      <c r="R66" s="227">
        <v>1743500</v>
      </c>
      <c r="S66" s="227">
        <v>0</v>
      </c>
      <c r="T66" s="227">
        <v>0</v>
      </c>
      <c r="U66" s="227">
        <v>0</v>
      </c>
      <c r="V66" s="229">
        <f>SUM(J66:U66)</f>
        <v>39749100</v>
      </c>
      <c r="W66" s="226">
        <f>I66-V66</f>
        <v>20318900</v>
      </c>
      <c r="X66" s="197">
        <f>SUM(V66/I66)*100</f>
        <v>66.17350336285543</v>
      </c>
    </row>
    <row r="67" spans="1:24" ht="12.75">
      <c r="A67" s="1"/>
      <c r="B67" s="200"/>
      <c r="C67" s="96"/>
      <c r="D67" s="96"/>
      <c r="E67" s="97"/>
      <c r="F67" s="97"/>
      <c r="G67" s="96"/>
      <c r="H67" s="201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225"/>
      <c r="X67" s="199"/>
    </row>
    <row r="68" spans="1:24" ht="12.75">
      <c r="A68" s="1"/>
      <c r="B68" s="203" t="s">
        <v>89</v>
      </c>
      <c r="C68" s="191"/>
      <c r="D68" s="191"/>
      <c r="E68" s="434"/>
      <c r="F68" s="192"/>
      <c r="G68" s="439"/>
      <c r="H68" s="204" t="s">
        <v>90</v>
      </c>
      <c r="I68" s="222">
        <f aca="true" t="shared" si="25" ref="I68:V68">SUM(I69+I72+I94+I99+I102)</f>
        <v>10756341000</v>
      </c>
      <c r="J68" s="222">
        <f t="shared" si="25"/>
        <v>753565880</v>
      </c>
      <c r="K68" s="222">
        <f t="shared" si="25"/>
        <v>517984304</v>
      </c>
      <c r="L68" s="222">
        <f t="shared" si="25"/>
        <v>911283704</v>
      </c>
      <c r="M68" s="222">
        <f t="shared" si="25"/>
        <v>605632516</v>
      </c>
      <c r="N68" s="222">
        <f t="shared" si="25"/>
        <v>1862627545</v>
      </c>
      <c r="O68" s="222">
        <f>SUM(O69+O72+O94+O99+O102)</f>
        <v>733089677</v>
      </c>
      <c r="P68" s="222">
        <f t="shared" si="25"/>
        <v>987907239</v>
      </c>
      <c r="Q68" s="222">
        <f t="shared" si="25"/>
        <v>539639452</v>
      </c>
      <c r="R68" s="222">
        <f t="shared" si="25"/>
        <v>883083387</v>
      </c>
      <c r="S68" s="222">
        <f t="shared" si="25"/>
        <v>0</v>
      </c>
      <c r="T68" s="222">
        <f t="shared" si="25"/>
        <v>0</v>
      </c>
      <c r="U68" s="222">
        <f t="shared" si="25"/>
        <v>0</v>
      </c>
      <c r="V68" s="222">
        <f t="shared" si="25"/>
        <v>7794813704</v>
      </c>
      <c r="W68" s="228">
        <f aca="true" t="shared" si="26" ref="W68:W105">I68-V68</f>
        <v>2961527296</v>
      </c>
      <c r="X68" s="205">
        <f aca="true" t="shared" si="27" ref="X68:X92">SUM(V68/I68)*100</f>
        <v>72.46714941447097</v>
      </c>
    </row>
    <row r="69" spans="1:24" ht="24">
      <c r="A69" s="1"/>
      <c r="B69" s="86" t="s">
        <v>89</v>
      </c>
      <c r="C69" s="87" t="s">
        <v>12</v>
      </c>
      <c r="D69" s="87"/>
      <c r="E69" s="89"/>
      <c r="F69" s="195"/>
      <c r="G69" s="438"/>
      <c r="H69" s="202" t="s">
        <v>91</v>
      </c>
      <c r="I69" s="224">
        <f>SUM(I70+I71)</f>
        <v>160000000</v>
      </c>
      <c r="J69" s="224">
        <f>SUM(J70+J71)</f>
        <v>11547508</v>
      </c>
      <c r="K69" s="224">
        <f aca="true" t="shared" si="28" ref="K69:U69">SUM(K70+K71)</f>
        <v>13113139</v>
      </c>
      <c r="L69" s="224">
        <f t="shared" si="28"/>
        <v>12268835</v>
      </c>
      <c r="M69" s="224">
        <f t="shared" si="28"/>
        <v>13159553</v>
      </c>
      <c r="N69" s="224">
        <f>SUM(N70+N71)</f>
        <v>22092345</v>
      </c>
      <c r="O69" s="224">
        <f>SUM(O70+O71)</f>
        <v>13441378</v>
      </c>
      <c r="P69" s="224">
        <f t="shared" si="28"/>
        <v>14922093</v>
      </c>
      <c r="Q69" s="224">
        <f t="shared" si="28"/>
        <v>8251273</v>
      </c>
      <c r="R69" s="224">
        <f t="shared" si="28"/>
        <v>7719381</v>
      </c>
      <c r="S69" s="224">
        <f t="shared" si="28"/>
        <v>0</v>
      </c>
      <c r="T69" s="224">
        <f t="shared" si="28"/>
        <v>0</v>
      </c>
      <c r="U69" s="224">
        <f t="shared" si="28"/>
        <v>0</v>
      </c>
      <c r="V69" s="224">
        <f>SUM(V70+V71)</f>
        <v>116515505</v>
      </c>
      <c r="W69" s="226">
        <f t="shared" si="26"/>
        <v>43484495</v>
      </c>
      <c r="X69" s="197">
        <f t="shared" si="27"/>
        <v>72.822190625</v>
      </c>
    </row>
    <row r="70" spans="1:24" ht="12.75">
      <c r="A70" s="1"/>
      <c r="B70" s="91" t="s">
        <v>89</v>
      </c>
      <c r="C70" s="92" t="s">
        <v>12</v>
      </c>
      <c r="D70" s="92" t="s">
        <v>14</v>
      </c>
      <c r="E70" s="94"/>
      <c r="F70" s="94"/>
      <c r="G70" s="92"/>
      <c r="H70" s="198" t="s">
        <v>92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f aca="true" t="shared" si="29" ref="V70:V105">SUM(J70:U70)</f>
        <v>0</v>
      </c>
      <c r="W70" s="225">
        <f t="shared" si="26"/>
        <v>0</v>
      </c>
      <c r="X70" s="199">
        <v>0</v>
      </c>
    </row>
    <row r="71" spans="1:24" ht="12.75">
      <c r="A71" s="1"/>
      <c r="B71" s="91" t="s">
        <v>89</v>
      </c>
      <c r="C71" s="92" t="s">
        <v>12</v>
      </c>
      <c r="D71" s="92" t="s">
        <v>17</v>
      </c>
      <c r="E71" s="94"/>
      <c r="F71" s="94"/>
      <c r="G71" s="92"/>
      <c r="H71" s="198" t="s">
        <v>93</v>
      </c>
      <c r="I71" s="20">
        <v>160000000</v>
      </c>
      <c r="J71" s="20">
        <v>11547508</v>
      </c>
      <c r="K71" s="20">
        <v>13113139</v>
      </c>
      <c r="L71" s="20">
        <v>12268835</v>
      </c>
      <c r="M71" s="20">
        <v>13159553</v>
      </c>
      <c r="N71" s="20">
        <v>22092345</v>
      </c>
      <c r="O71" s="20">
        <v>13441378</v>
      </c>
      <c r="P71" s="20">
        <v>14922093</v>
      </c>
      <c r="Q71" s="20">
        <v>8251273</v>
      </c>
      <c r="R71" s="20">
        <v>7719381</v>
      </c>
      <c r="S71" s="20">
        <v>0</v>
      </c>
      <c r="T71" s="20">
        <v>0</v>
      </c>
      <c r="U71" s="20">
        <v>0</v>
      </c>
      <c r="V71" s="20">
        <f t="shared" si="29"/>
        <v>116515505</v>
      </c>
      <c r="W71" s="225">
        <f t="shared" si="26"/>
        <v>43484495</v>
      </c>
      <c r="X71" s="199">
        <f t="shared" si="27"/>
        <v>72.822190625</v>
      </c>
    </row>
    <row r="72" spans="1:24" ht="12.75">
      <c r="A72" s="1"/>
      <c r="B72" s="86" t="s">
        <v>89</v>
      </c>
      <c r="C72" s="87" t="s">
        <v>35</v>
      </c>
      <c r="D72" s="87"/>
      <c r="E72" s="89"/>
      <c r="F72" s="195"/>
      <c r="G72" s="438"/>
      <c r="H72" s="196" t="s">
        <v>94</v>
      </c>
      <c r="I72" s="224">
        <f aca="true" t="shared" si="30" ref="I72:V72">SUM(I73+I88+I89+I90+I91+I92+I93)</f>
        <v>1440811000</v>
      </c>
      <c r="J72" s="224">
        <f t="shared" si="30"/>
        <v>94137163</v>
      </c>
      <c r="K72" s="224">
        <f t="shared" si="30"/>
        <v>83430076</v>
      </c>
      <c r="L72" s="224">
        <f t="shared" si="30"/>
        <v>308779225</v>
      </c>
      <c r="M72" s="224">
        <f t="shared" si="30"/>
        <v>156920456</v>
      </c>
      <c r="N72" s="224">
        <f t="shared" si="30"/>
        <v>137110245</v>
      </c>
      <c r="O72" s="224">
        <f>SUM(O73+O88+O89+O90+O91+O92+O93)</f>
        <v>111529341</v>
      </c>
      <c r="P72" s="224">
        <f t="shared" si="30"/>
        <v>92912550</v>
      </c>
      <c r="Q72" s="224">
        <f t="shared" si="30"/>
        <v>83062826</v>
      </c>
      <c r="R72" s="224">
        <f t="shared" si="30"/>
        <v>126211418</v>
      </c>
      <c r="S72" s="224">
        <f t="shared" si="30"/>
        <v>0</v>
      </c>
      <c r="T72" s="224">
        <f t="shared" si="30"/>
        <v>0</v>
      </c>
      <c r="U72" s="224">
        <f t="shared" si="30"/>
        <v>0</v>
      </c>
      <c r="V72" s="224">
        <f t="shared" si="30"/>
        <v>1194093300</v>
      </c>
      <c r="W72" s="226">
        <f t="shared" si="26"/>
        <v>246717700</v>
      </c>
      <c r="X72" s="197">
        <f t="shared" si="27"/>
        <v>82.87647026570453</v>
      </c>
    </row>
    <row r="73" spans="1:24" ht="12.75">
      <c r="A73" s="1"/>
      <c r="B73" s="91" t="s">
        <v>89</v>
      </c>
      <c r="C73" s="92" t="s">
        <v>35</v>
      </c>
      <c r="D73" s="92" t="s">
        <v>14</v>
      </c>
      <c r="E73" s="94"/>
      <c r="F73" s="94"/>
      <c r="G73" s="92"/>
      <c r="H73" s="198" t="s">
        <v>95</v>
      </c>
      <c r="I73" s="20">
        <f>SUM(I74+I79)</f>
        <v>693691000</v>
      </c>
      <c r="J73" s="20">
        <f aca="true" t="shared" si="31" ref="J73:V73">SUM(J74+J79)</f>
        <v>65053716</v>
      </c>
      <c r="K73" s="20">
        <f t="shared" si="31"/>
        <v>49243631</v>
      </c>
      <c r="L73" s="20">
        <f t="shared" si="31"/>
        <v>65219711</v>
      </c>
      <c r="M73" s="20">
        <f t="shared" si="31"/>
        <v>55045191</v>
      </c>
      <c r="N73" s="20">
        <f t="shared" si="31"/>
        <v>68717279</v>
      </c>
      <c r="O73" s="20">
        <f>SUM(O74+O79)</f>
        <v>53023305</v>
      </c>
      <c r="P73" s="20">
        <f t="shared" si="31"/>
        <v>56865516</v>
      </c>
      <c r="Q73" s="20">
        <f t="shared" si="31"/>
        <v>48846004</v>
      </c>
      <c r="R73" s="20">
        <f t="shared" si="31"/>
        <v>56065342</v>
      </c>
      <c r="S73" s="20">
        <f t="shared" si="31"/>
        <v>0</v>
      </c>
      <c r="T73" s="20">
        <f t="shared" si="31"/>
        <v>0</v>
      </c>
      <c r="U73" s="20">
        <f t="shared" si="31"/>
        <v>0</v>
      </c>
      <c r="V73" s="20">
        <f t="shared" si="31"/>
        <v>518079695</v>
      </c>
      <c r="W73" s="225">
        <f t="shared" si="26"/>
        <v>175611305</v>
      </c>
      <c r="X73" s="199">
        <f t="shared" si="27"/>
        <v>74.68450578139259</v>
      </c>
    </row>
    <row r="74" spans="1:24" ht="12.75">
      <c r="A74" s="1"/>
      <c r="B74" s="91"/>
      <c r="C74" s="92"/>
      <c r="D74" s="92"/>
      <c r="E74" s="94"/>
      <c r="F74" s="94" t="s">
        <v>14</v>
      </c>
      <c r="G74" s="92"/>
      <c r="H74" s="198" t="s">
        <v>650</v>
      </c>
      <c r="I74" s="20">
        <f>SUM(I75:I78)</f>
        <v>574930000</v>
      </c>
      <c r="J74" s="20">
        <f aca="true" t="shared" si="32" ref="J74:V74">SUM(J75:J78)</f>
        <v>51414366</v>
      </c>
      <c r="K74" s="20">
        <f t="shared" si="32"/>
        <v>43739722</v>
      </c>
      <c r="L74" s="20">
        <f t="shared" si="32"/>
        <v>50576161</v>
      </c>
      <c r="M74" s="20">
        <f t="shared" si="32"/>
        <v>46319952</v>
      </c>
      <c r="N74" s="20">
        <f t="shared" si="32"/>
        <v>39637236</v>
      </c>
      <c r="O74" s="20">
        <f>SUM(O75:O78)</f>
        <v>45187091</v>
      </c>
      <c r="P74" s="20">
        <f t="shared" si="32"/>
        <v>48751174</v>
      </c>
      <c r="Q74" s="20">
        <f t="shared" si="32"/>
        <v>44859734</v>
      </c>
      <c r="R74" s="20">
        <f t="shared" si="32"/>
        <v>46448032</v>
      </c>
      <c r="S74" s="20">
        <f t="shared" si="32"/>
        <v>0</v>
      </c>
      <c r="T74" s="20">
        <f t="shared" si="32"/>
        <v>0</v>
      </c>
      <c r="U74" s="20">
        <f t="shared" si="32"/>
        <v>0</v>
      </c>
      <c r="V74" s="20">
        <f t="shared" si="32"/>
        <v>416933468</v>
      </c>
      <c r="W74" s="225">
        <f t="shared" si="26"/>
        <v>157996532</v>
      </c>
      <c r="X74" s="199">
        <f t="shared" si="27"/>
        <v>72.51899674743012</v>
      </c>
    </row>
    <row r="75" spans="1:24" ht="12.75">
      <c r="A75" s="1"/>
      <c r="B75" s="91"/>
      <c r="C75" s="92"/>
      <c r="D75" s="92"/>
      <c r="E75" s="94"/>
      <c r="F75" s="94"/>
      <c r="G75" s="92" t="s">
        <v>14</v>
      </c>
      <c r="H75" s="198" t="s">
        <v>656</v>
      </c>
      <c r="I75" s="20">
        <v>117789000</v>
      </c>
      <c r="J75" s="20">
        <v>10061903</v>
      </c>
      <c r="K75" s="20">
        <v>6837773</v>
      </c>
      <c r="L75" s="20">
        <v>7078628</v>
      </c>
      <c r="M75" s="20">
        <v>7516563</v>
      </c>
      <c r="N75" s="20">
        <v>6892410</v>
      </c>
      <c r="O75" s="20">
        <v>10055607</v>
      </c>
      <c r="P75" s="20">
        <v>10845002</v>
      </c>
      <c r="Q75" s="20">
        <v>7681991</v>
      </c>
      <c r="R75" s="20">
        <v>10465454</v>
      </c>
      <c r="S75" s="20"/>
      <c r="T75" s="20"/>
      <c r="U75" s="20"/>
      <c r="V75" s="20">
        <f t="shared" si="29"/>
        <v>77435331</v>
      </c>
      <c r="W75" s="225">
        <f t="shared" si="26"/>
        <v>40353669</v>
      </c>
      <c r="X75" s="199"/>
    </row>
    <row r="76" spans="1:24" ht="12.75">
      <c r="A76" s="1"/>
      <c r="B76" s="91"/>
      <c r="C76" s="92"/>
      <c r="D76" s="92"/>
      <c r="E76" s="94"/>
      <c r="F76" s="94"/>
      <c r="G76" s="92" t="s">
        <v>17</v>
      </c>
      <c r="H76" s="198" t="s">
        <v>657</v>
      </c>
      <c r="I76" s="20">
        <v>168270000</v>
      </c>
      <c r="J76" s="20">
        <v>18459639</v>
      </c>
      <c r="K76" s="20">
        <v>17628674</v>
      </c>
      <c r="L76" s="20">
        <v>15982584</v>
      </c>
      <c r="M76" s="20">
        <v>16512276</v>
      </c>
      <c r="N76" s="20">
        <v>14283823</v>
      </c>
      <c r="O76" s="20">
        <v>15664545</v>
      </c>
      <c r="P76" s="20">
        <v>16410307</v>
      </c>
      <c r="Q76" s="20">
        <v>14622773</v>
      </c>
      <c r="R76" s="20">
        <v>15874202</v>
      </c>
      <c r="S76" s="20"/>
      <c r="T76" s="20"/>
      <c r="U76" s="20"/>
      <c r="V76" s="20">
        <f t="shared" si="29"/>
        <v>145438823</v>
      </c>
      <c r="W76" s="225">
        <f t="shared" si="26"/>
        <v>22831177</v>
      </c>
      <c r="X76" s="199"/>
    </row>
    <row r="77" spans="1:24" ht="12.75">
      <c r="A77" s="1"/>
      <c r="B77" s="91"/>
      <c r="C77" s="92"/>
      <c r="D77" s="92"/>
      <c r="E77" s="94"/>
      <c r="F77" s="94"/>
      <c r="G77" s="92" t="s">
        <v>195</v>
      </c>
      <c r="H77" s="198" t="s">
        <v>658</v>
      </c>
      <c r="I77" s="20">
        <v>122074000</v>
      </c>
      <c r="J77" s="20">
        <v>6028276</v>
      </c>
      <c r="K77" s="20">
        <v>6298960</v>
      </c>
      <c r="L77" s="20">
        <v>8885962</v>
      </c>
      <c r="M77" s="20">
        <v>6735453</v>
      </c>
      <c r="N77" s="20">
        <v>4944753</v>
      </c>
      <c r="O77" s="20">
        <v>6793732</v>
      </c>
      <c r="P77" s="20">
        <v>7658046</v>
      </c>
      <c r="Q77" s="20">
        <v>7871291</v>
      </c>
      <c r="R77" s="20">
        <v>5564482</v>
      </c>
      <c r="S77" s="20"/>
      <c r="T77" s="20"/>
      <c r="U77" s="20"/>
      <c r="V77" s="20">
        <f t="shared" si="29"/>
        <v>60780955</v>
      </c>
      <c r="W77" s="225">
        <f t="shared" si="26"/>
        <v>61293045</v>
      </c>
      <c r="X77" s="199"/>
    </row>
    <row r="78" spans="1:24" ht="12.75">
      <c r="A78" s="1"/>
      <c r="B78" s="91"/>
      <c r="C78" s="92"/>
      <c r="D78" s="92"/>
      <c r="E78" s="94"/>
      <c r="F78" s="94"/>
      <c r="G78" s="92" t="s">
        <v>334</v>
      </c>
      <c r="H78" s="198" t="s">
        <v>659</v>
      </c>
      <c r="I78" s="20">
        <v>166797000</v>
      </c>
      <c r="J78" s="20">
        <v>16864548</v>
      </c>
      <c r="K78" s="20">
        <v>12974315</v>
      </c>
      <c r="L78" s="20">
        <v>18628987</v>
      </c>
      <c r="M78" s="20">
        <v>15555660</v>
      </c>
      <c r="N78" s="20">
        <v>13516250</v>
      </c>
      <c r="O78" s="20">
        <v>12673207</v>
      </c>
      <c r="P78" s="20">
        <v>13837819</v>
      </c>
      <c r="Q78" s="20">
        <v>14683679</v>
      </c>
      <c r="R78" s="20">
        <v>14543894</v>
      </c>
      <c r="S78" s="20"/>
      <c r="T78" s="20"/>
      <c r="U78" s="20"/>
      <c r="V78" s="20">
        <f t="shared" si="29"/>
        <v>133278359</v>
      </c>
      <c r="W78" s="225">
        <f t="shared" si="26"/>
        <v>33518641</v>
      </c>
      <c r="X78" s="199"/>
    </row>
    <row r="79" spans="1:24" ht="12.75">
      <c r="A79" s="1"/>
      <c r="B79" s="91"/>
      <c r="C79" s="92"/>
      <c r="D79" s="92"/>
      <c r="E79" s="94"/>
      <c r="F79" s="94" t="s">
        <v>30</v>
      </c>
      <c r="G79" s="92"/>
      <c r="H79" s="198" t="s">
        <v>651</v>
      </c>
      <c r="I79" s="20">
        <f>SUM(I80:I87)</f>
        <v>118761000</v>
      </c>
      <c r="J79" s="20">
        <f aca="true" t="shared" si="33" ref="J79:V79">SUM(J80:J87)</f>
        <v>13639350</v>
      </c>
      <c r="K79" s="20">
        <f t="shared" si="33"/>
        <v>5503909</v>
      </c>
      <c r="L79" s="20">
        <f t="shared" si="33"/>
        <v>14643550</v>
      </c>
      <c r="M79" s="20">
        <f t="shared" si="33"/>
        <v>8725239</v>
      </c>
      <c r="N79" s="20">
        <f t="shared" si="33"/>
        <v>29080043</v>
      </c>
      <c r="O79" s="20">
        <f>SUM(O80:O87)</f>
        <v>7836214</v>
      </c>
      <c r="P79" s="20">
        <f t="shared" si="33"/>
        <v>8114342</v>
      </c>
      <c r="Q79" s="20">
        <f t="shared" si="33"/>
        <v>3986270</v>
      </c>
      <c r="R79" s="20">
        <f t="shared" si="33"/>
        <v>9617310</v>
      </c>
      <c r="S79" s="20">
        <f t="shared" si="33"/>
        <v>0</v>
      </c>
      <c r="T79" s="20">
        <f t="shared" si="33"/>
        <v>0</v>
      </c>
      <c r="U79" s="20">
        <f t="shared" si="33"/>
        <v>0</v>
      </c>
      <c r="V79" s="20">
        <f t="shared" si="33"/>
        <v>101146227</v>
      </c>
      <c r="W79" s="225">
        <f t="shared" si="26"/>
        <v>17614773</v>
      </c>
      <c r="X79" s="199">
        <f t="shared" si="27"/>
        <v>85.16788086998257</v>
      </c>
    </row>
    <row r="80" spans="1:24" ht="12.75">
      <c r="A80" s="1"/>
      <c r="B80" s="91"/>
      <c r="C80" s="92"/>
      <c r="D80" s="92"/>
      <c r="E80" s="94"/>
      <c r="F80" s="94"/>
      <c r="G80" s="92" t="s">
        <v>14</v>
      </c>
      <c r="H80" s="198" t="s">
        <v>660</v>
      </c>
      <c r="I80" s="20">
        <v>19850000</v>
      </c>
      <c r="J80" s="20">
        <v>946037</v>
      </c>
      <c r="K80" s="20">
        <v>1493832</v>
      </c>
      <c r="L80" s="20">
        <v>2590541</v>
      </c>
      <c r="M80" s="20">
        <v>4626680</v>
      </c>
      <c r="N80" s="20">
        <v>2666503</v>
      </c>
      <c r="O80" s="20">
        <v>3229510</v>
      </c>
      <c r="P80" s="20">
        <v>2479166</v>
      </c>
      <c r="Q80" s="20">
        <v>1791333</v>
      </c>
      <c r="R80" s="20">
        <v>5118929</v>
      </c>
      <c r="S80" s="20"/>
      <c r="T80" s="20"/>
      <c r="U80" s="20"/>
      <c r="V80" s="20">
        <f t="shared" si="29"/>
        <v>24942531</v>
      </c>
      <c r="W80" s="225">
        <f t="shared" si="26"/>
        <v>-5092531</v>
      </c>
      <c r="X80" s="199"/>
    </row>
    <row r="81" spans="1:24" ht="12.75">
      <c r="A81" s="1"/>
      <c r="B81" s="91"/>
      <c r="C81" s="92"/>
      <c r="D81" s="92"/>
      <c r="E81" s="94"/>
      <c r="F81" s="94"/>
      <c r="G81" s="92" t="s">
        <v>17</v>
      </c>
      <c r="H81" s="198" t="s">
        <v>661</v>
      </c>
      <c r="I81" s="20">
        <v>673000</v>
      </c>
      <c r="J81" s="20">
        <v>107995</v>
      </c>
      <c r="K81" s="20"/>
      <c r="L81" s="20">
        <v>86136</v>
      </c>
      <c r="M81" s="20">
        <v>86480</v>
      </c>
      <c r="N81" s="20">
        <v>0</v>
      </c>
      <c r="O81" s="20">
        <v>87520</v>
      </c>
      <c r="P81" s="20"/>
      <c r="Q81" s="20"/>
      <c r="R81" s="20">
        <v>22122</v>
      </c>
      <c r="S81" s="20"/>
      <c r="T81" s="20"/>
      <c r="U81" s="20"/>
      <c r="V81" s="20">
        <f t="shared" si="29"/>
        <v>390253</v>
      </c>
      <c r="W81" s="225">
        <f t="shared" si="26"/>
        <v>282747</v>
      </c>
      <c r="X81" s="199"/>
    </row>
    <row r="82" spans="1:24" ht="12.75">
      <c r="A82" s="1"/>
      <c r="B82" s="91"/>
      <c r="C82" s="92"/>
      <c r="D82" s="92"/>
      <c r="E82" s="94"/>
      <c r="F82" s="94"/>
      <c r="G82" s="92" t="s">
        <v>22</v>
      </c>
      <c r="H82" s="198" t="s">
        <v>662</v>
      </c>
      <c r="I82" s="20">
        <v>9470000</v>
      </c>
      <c r="J82" s="20">
        <v>345584</v>
      </c>
      <c r="K82" s="20">
        <v>322688</v>
      </c>
      <c r="L82" s="20">
        <v>4624737</v>
      </c>
      <c r="M82" s="20">
        <v>1675550</v>
      </c>
      <c r="N82" s="20">
        <v>630736</v>
      </c>
      <c r="O82" s="20">
        <v>1290398</v>
      </c>
      <c r="P82" s="20">
        <v>1389982</v>
      </c>
      <c r="Q82" s="20">
        <v>616938</v>
      </c>
      <c r="R82" s="20">
        <v>1181289</v>
      </c>
      <c r="S82" s="20"/>
      <c r="T82" s="20"/>
      <c r="U82" s="20"/>
      <c r="V82" s="20">
        <f t="shared" si="29"/>
        <v>12077902</v>
      </c>
      <c r="W82" s="225">
        <f t="shared" si="26"/>
        <v>-2607902</v>
      </c>
      <c r="X82" s="199"/>
    </row>
    <row r="83" spans="1:24" ht="12.75">
      <c r="A83" s="1"/>
      <c r="B83" s="91"/>
      <c r="C83" s="92"/>
      <c r="D83" s="92"/>
      <c r="E83" s="94"/>
      <c r="F83" s="94"/>
      <c r="G83" s="92" t="s">
        <v>652</v>
      </c>
      <c r="H83" s="198" t="s">
        <v>663</v>
      </c>
      <c r="I83" s="20">
        <v>15138000</v>
      </c>
      <c r="J83" s="20">
        <v>920117</v>
      </c>
      <c r="K83" s="20">
        <v>1196096</v>
      </c>
      <c r="L83" s="20">
        <v>1055165</v>
      </c>
      <c r="M83" s="20">
        <v>908040</v>
      </c>
      <c r="N83" s="20">
        <v>1565966</v>
      </c>
      <c r="O83" s="20">
        <v>708912</v>
      </c>
      <c r="P83" s="20">
        <v>1017274</v>
      </c>
      <c r="Q83" s="20">
        <v>753546</v>
      </c>
      <c r="R83" s="20">
        <v>699042</v>
      </c>
      <c r="S83" s="20"/>
      <c r="T83" s="20"/>
      <c r="U83" s="20"/>
      <c r="V83" s="20">
        <f t="shared" si="29"/>
        <v>8824158</v>
      </c>
      <c r="W83" s="225">
        <f t="shared" si="26"/>
        <v>6313842</v>
      </c>
      <c r="X83" s="199"/>
    </row>
    <row r="84" spans="1:24" ht="12.75">
      <c r="A84" s="1"/>
      <c r="B84" s="91"/>
      <c r="C84" s="92"/>
      <c r="D84" s="92"/>
      <c r="E84" s="94"/>
      <c r="F84" s="94"/>
      <c r="G84" s="92" t="s">
        <v>653</v>
      </c>
      <c r="H84" s="198" t="s">
        <v>664</v>
      </c>
      <c r="I84" s="20">
        <v>160000</v>
      </c>
      <c r="J84" s="20"/>
      <c r="K84" s="20">
        <v>10756</v>
      </c>
      <c r="L84" s="20"/>
      <c r="M84" s="20"/>
      <c r="N84" s="20">
        <v>0</v>
      </c>
      <c r="O84" s="20">
        <v>21880</v>
      </c>
      <c r="P84" s="20"/>
      <c r="Q84" s="20"/>
      <c r="R84" s="20"/>
      <c r="S84" s="20"/>
      <c r="T84" s="20"/>
      <c r="U84" s="20"/>
      <c r="V84" s="20">
        <f t="shared" si="29"/>
        <v>32636</v>
      </c>
      <c r="W84" s="225">
        <f t="shared" si="26"/>
        <v>127364</v>
      </c>
      <c r="X84" s="199"/>
    </row>
    <row r="85" spans="1:24" ht="12.75">
      <c r="A85" s="1"/>
      <c r="B85" s="91"/>
      <c r="C85" s="92"/>
      <c r="D85" s="92"/>
      <c r="E85" s="94"/>
      <c r="F85" s="94"/>
      <c r="G85" s="92" t="s">
        <v>654</v>
      </c>
      <c r="H85" s="198" t="s">
        <v>665</v>
      </c>
      <c r="I85" s="20">
        <v>7223000</v>
      </c>
      <c r="J85" s="20">
        <v>215990</v>
      </c>
      <c r="K85" s="20"/>
      <c r="L85" s="20">
        <v>3628475</v>
      </c>
      <c r="M85" s="20"/>
      <c r="N85" s="20">
        <v>3628475</v>
      </c>
      <c r="O85" s="20"/>
      <c r="P85" s="20"/>
      <c r="Q85" s="20">
        <v>510447</v>
      </c>
      <c r="R85" s="20">
        <v>310920</v>
      </c>
      <c r="S85" s="20"/>
      <c r="T85" s="20"/>
      <c r="U85" s="20"/>
      <c r="V85" s="20">
        <f t="shared" si="29"/>
        <v>8294307</v>
      </c>
      <c r="W85" s="225">
        <f t="shared" si="26"/>
        <v>-1071307</v>
      </c>
      <c r="X85" s="199"/>
    </row>
    <row r="86" spans="1:24" ht="12.75">
      <c r="A86" s="1"/>
      <c r="B86" s="91"/>
      <c r="C86" s="92"/>
      <c r="D86" s="92"/>
      <c r="E86" s="94"/>
      <c r="F86" s="94"/>
      <c r="G86" s="92" t="s">
        <v>71</v>
      </c>
      <c r="H86" s="198" t="s">
        <v>509</v>
      </c>
      <c r="I86" s="20">
        <v>56900000</v>
      </c>
      <c r="J86" s="20">
        <v>11103627</v>
      </c>
      <c r="K86" s="20">
        <v>2464703</v>
      </c>
      <c r="L86" s="20">
        <v>2606299</v>
      </c>
      <c r="M86" s="20">
        <v>1412655</v>
      </c>
      <c r="N86" s="20">
        <v>20430162</v>
      </c>
      <c r="O86" s="20">
        <v>2371460</v>
      </c>
      <c r="P86" s="20">
        <v>2464212</v>
      </c>
      <c r="Q86" s="20">
        <v>-733667</v>
      </c>
      <c r="R86" s="20">
        <v>2152400</v>
      </c>
      <c r="S86" s="20">
        <v>0</v>
      </c>
      <c r="T86" s="20">
        <v>0</v>
      </c>
      <c r="U86" s="20">
        <v>0</v>
      </c>
      <c r="V86" s="20">
        <f t="shared" si="29"/>
        <v>44271851</v>
      </c>
      <c r="W86" s="225">
        <f t="shared" si="26"/>
        <v>12628149</v>
      </c>
      <c r="X86" s="199">
        <f t="shared" si="27"/>
        <v>77.8064165202109</v>
      </c>
    </row>
    <row r="87" spans="1:24" ht="12.75">
      <c r="A87" s="1"/>
      <c r="B87" s="91"/>
      <c r="C87" s="92"/>
      <c r="D87" s="92"/>
      <c r="E87" s="94"/>
      <c r="F87" s="94"/>
      <c r="G87" s="92" t="s">
        <v>655</v>
      </c>
      <c r="H87" s="198" t="s">
        <v>666</v>
      </c>
      <c r="I87" s="20">
        <v>9347000</v>
      </c>
      <c r="J87" s="20">
        <v>0</v>
      </c>
      <c r="K87" s="20">
        <v>15834</v>
      </c>
      <c r="L87" s="20">
        <v>52197</v>
      </c>
      <c r="M87" s="20">
        <v>15834</v>
      </c>
      <c r="N87" s="20">
        <v>158201</v>
      </c>
      <c r="O87" s="20">
        <v>126534</v>
      </c>
      <c r="P87" s="20">
        <v>763708</v>
      </c>
      <c r="Q87" s="20">
        <v>1047673</v>
      </c>
      <c r="R87" s="20">
        <v>132608</v>
      </c>
      <c r="S87" s="20">
        <v>0</v>
      </c>
      <c r="T87" s="20">
        <v>0</v>
      </c>
      <c r="U87" s="20">
        <v>0</v>
      </c>
      <c r="V87" s="20">
        <f t="shared" si="29"/>
        <v>2312589</v>
      </c>
      <c r="W87" s="225">
        <f t="shared" si="26"/>
        <v>7034411</v>
      </c>
      <c r="X87" s="199">
        <f t="shared" si="27"/>
        <v>24.74151064512678</v>
      </c>
    </row>
    <row r="88" spans="1:24" ht="12.75">
      <c r="A88" s="1"/>
      <c r="B88" s="91" t="s">
        <v>89</v>
      </c>
      <c r="C88" s="92" t="s">
        <v>35</v>
      </c>
      <c r="D88" s="92" t="s">
        <v>17</v>
      </c>
      <c r="E88" s="94"/>
      <c r="F88" s="94"/>
      <c r="G88" s="92"/>
      <c r="H88" s="198" t="s">
        <v>667</v>
      </c>
      <c r="I88" s="20">
        <v>143620000</v>
      </c>
      <c r="J88" s="20">
        <f>64797+173875+2494684</f>
        <v>2733356</v>
      </c>
      <c r="K88" s="20">
        <v>4996163</v>
      </c>
      <c r="L88" s="20">
        <f>96602+458656+78868535</f>
        <v>79423793</v>
      </c>
      <c r="M88" s="20">
        <f>48010+257648+26294642</f>
        <v>26600300</v>
      </c>
      <c r="N88" s="20">
        <v>11459355</v>
      </c>
      <c r="O88" s="20">
        <v>6997880</v>
      </c>
      <c r="P88" s="20">
        <v>3620619</v>
      </c>
      <c r="Q88" s="20">
        <v>3657367</v>
      </c>
      <c r="R88" s="20">
        <v>10512861</v>
      </c>
      <c r="S88" s="20">
        <v>0</v>
      </c>
      <c r="T88" s="20">
        <v>0</v>
      </c>
      <c r="U88" s="20">
        <v>0</v>
      </c>
      <c r="V88" s="20">
        <f t="shared" si="29"/>
        <v>150001694</v>
      </c>
      <c r="W88" s="225">
        <f t="shared" si="26"/>
        <v>-6381694</v>
      </c>
      <c r="X88" s="199"/>
    </row>
    <row r="89" spans="1:24" ht="12.75">
      <c r="A89" s="1"/>
      <c r="B89" s="91"/>
      <c r="C89" s="92"/>
      <c r="D89" s="94" t="s">
        <v>22</v>
      </c>
      <c r="E89" s="94"/>
      <c r="F89" s="94"/>
      <c r="G89" s="92"/>
      <c r="H89" s="198" t="s">
        <v>97</v>
      </c>
      <c r="I89" s="20">
        <v>19382000</v>
      </c>
      <c r="J89" s="20">
        <f>755946+1243227</f>
        <v>1999173</v>
      </c>
      <c r="K89" s="20">
        <f>1161747+1303675</f>
        <v>2465422</v>
      </c>
      <c r="L89" s="20">
        <f>1563357+727838</f>
        <v>2291195</v>
      </c>
      <c r="M89" s="20">
        <f>1807432+933881</f>
        <v>2741313</v>
      </c>
      <c r="N89" s="20">
        <v>2031410</v>
      </c>
      <c r="O89" s="20">
        <v>1715392</v>
      </c>
      <c r="P89" s="20">
        <v>2113249</v>
      </c>
      <c r="Q89" s="20">
        <v>1934530</v>
      </c>
      <c r="R89" s="20">
        <v>2305233</v>
      </c>
      <c r="S89" s="20">
        <v>0</v>
      </c>
      <c r="T89" s="20">
        <v>0</v>
      </c>
      <c r="U89" s="20">
        <v>0</v>
      </c>
      <c r="V89" s="20">
        <f t="shared" si="29"/>
        <v>19596917</v>
      </c>
      <c r="W89" s="225">
        <f t="shared" si="26"/>
        <v>-214917</v>
      </c>
      <c r="X89" s="199">
        <f t="shared" si="27"/>
        <v>101.10884841605613</v>
      </c>
    </row>
    <row r="90" spans="1:24" ht="12.75">
      <c r="A90" s="1"/>
      <c r="B90" s="109"/>
      <c r="C90" s="110"/>
      <c r="D90" s="120" t="s">
        <v>28</v>
      </c>
      <c r="E90" s="120"/>
      <c r="F90" s="120"/>
      <c r="G90" s="110"/>
      <c r="H90" s="206" t="s">
        <v>98</v>
      </c>
      <c r="I90" s="20">
        <v>12921000</v>
      </c>
      <c r="J90" s="20">
        <v>1145641</v>
      </c>
      <c r="K90" s="20">
        <v>1557540</v>
      </c>
      <c r="L90" s="20">
        <v>1498789</v>
      </c>
      <c r="M90" s="20">
        <v>1798715</v>
      </c>
      <c r="N90" s="20">
        <v>1296296</v>
      </c>
      <c r="O90" s="20">
        <v>1085248</v>
      </c>
      <c r="P90" s="20">
        <v>1262698</v>
      </c>
      <c r="Q90" s="20">
        <v>1216287</v>
      </c>
      <c r="R90" s="20">
        <v>1477838</v>
      </c>
      <c r="S90" s="20">
        <v>0</v>
      </c>
      <c r="T90" s="20">
        <v>0</v>
      </c>
      <c r="U90" s="20">
        <v>0</v>
      </c>
      <c r="V90" s="20">
        <f t="shared" si="29"/>
        <v>12339052</v>
      </c>
      <c r="W90" s="225">
        <f t="shared" si="26"/>
        <v>581948</v>
      </c>
      <c r="X90" s="199">
        <f t="shared" si="27"/>
        <v>95.4961071124526</v>
      </c>
    </row>
    <row r="91" spans="1:24" ht="12.75">
      <c r="A91" s="1"/>
      <c r="B91" s="91"/>
      <c r="C91" s="92"/>
      <c r="D91" s="94" t="s">
        <v>54</v>
      </c>
      <c r="E91" s="94"/>
      <c r="F91" s="94"/>
      <c r="G91" s="92"/>
      <c r="H91" s="206" t="s">
        <v>99</v>
      </c>
      <c r="I91" s="20">
        <v>113398000</v>
      </c>
      <c r="J91" s="20">
        <v>5198281</v>
      </c>
      <c r="K91" s="20">
        <v>3689515</v>
      </c>
      <c r="L91" s="20">
        <v>30659057</v>
      </c>
      <c r="M91" s="20">
        <v>14976561</v>
      </c>
      <c r="N91" s="20">
        <v>17742243</v>
      </c>
      <c r="O91" s="20">
        <v>15097383</v>
      </c>
      <c r="P91" s="20">
        <v>4039299</v>
      </c>
      <c r="Q91" s="20">
        <v>3645827</v>
      </c>
      <c r="R91" s="20">
        <v>6985347</v>
      </c>
      <c r="S91" s="20">
        <v>0</v>
      </c>
      <c r="T91" s="20">
        <v>0</v>
      </c>
      <c r="U91" s="20">
        <v>0</v>
      </c>
      <c r="V91" s="20">
        <f t="shared" si="29"/>
        <v>102033513</v>
      </c>
      <c r="W91" s="225">
        <f t="shared" si="26"/>
        <v>11364487</v>
      </c>
      <c r="X91" s="199">
        <f t="shared" si="27"/>
        <v>89.97822977477557</v>
      </c>
    </row>
    <row r="92" spans="1:24" ht="12.75">
      <c r="A92" s="1"/>
      <c r="B92" s="91"/>
      <c r="C92" s="92"/>
      <c r="D92" s="94" t="s">
        <v>57</v>
      </c>
      <c r="E92" s="94"/>
      <c r="F92" s="94"/>
      <c r="G92" s="92"/>
      <c r="H92" s="206" t="s">
        <v>100</v>
      </c>
      <c r="I92" s="20">
        <v>182090000</v>
      </c>
      <c r="J92" s="20">
        <f>1254435+2569201</f>
        <v>3823636</v>
      </c>
      <c r="K92" s="20">
        <f>1938879+4996394</f>
        <v>6935273</v>
      </c>
      <c r="L92" s="20">
        <f>28471911+79065107</f>
        <v>107537018</v>
      </c>
      <c r="M92" s="20">
        <f>7853128+26405066</f>
        <v>34258194</v>
      </c>
      <c r="N92" s="20">
        <v>13751856</v>
      </c>
      <c r="O92" s="20">
        <v>8942862</v>
      </c>
      <c r="P92" s="20">
        <v>4480895</v>
      </c>
      <c r="Q92" s="20">
        <v>4053488</v>
      </c>
      <c r="R92" s="20">
        <v>18339905</v>
      </c>
      <c r="S92" s="20">
        <v>0</v>
      </c>
      <c r="T92" s="20">
        <v>0</v>
      </c>
      <c r="U92" s="20">
        <v>0</v>
      </c>
      <c r="V92" s="20">
        <f t="shared" si="29"/>
        <v>202123127</v>
      </c>
      <c r="W92" s="225">
        <f t="shared" si="26"/>
        <v>-20033127</v>
      </c>
      <c r="X92" s="199">
        <f t="shared" si="27"/>
        <v>111.00177220056015</v>
      </c>
    </row>
    <row r="93" spans="1:24" ht="12.75">
      <c r="A93" s="1"/>
      <c r="B93" s="91"/>
      <c r="C93" s="92"/>
      <c r="D93" s="94" t="s">
        <v>65</v>
      </c>
      <c r="E93" s="94"/>
      <c r="F93" s="94"/>
      <c r="G93" s="92"/>
      <c r="H93" s="198" t="s">
        <v>102</v>
      </c>
      <c r="I93" s="20">
        <v>275709000</v>
      </c>
      <c r="J93" s="20">
        <f>13109776+1073584</f>
        <v>14183360</v>
      </c>
      <c r="K93" s="20">
        <v>14542532</v>
      </c>
      <c r="L93" s="20">
        <f>17152397+4997265</f>
        <v>22149662</v>
      </c>
      <c r="M93" s="20">
        <f>18876942+2623240</f>
        <v>21500182</v>
      </c>
      <c r="N93" s="20">
        <v>22111806</v>
      </c>
      <c r="O93" s="20">
        <v>24667271</v>
      </c>
      <c r="P93" s="20">
        <v>20530274</v>
      </c>
      <c r="Q93" s="20">
        <v>19709323</v>
      </c>
      <c r="R93" s="20">
        <v>30524892</v>
      </c>
      <c r="S93" s="20">
        <v>0</v>
      </c>
      <c r="T93" s="20">
        <v>0</v>
      </c>
      <c r="U93" s="20">
        <v>0</v>
      </c>
      <c r="V93" s="20">
        <f t="shared" si="29"/>
        <v>189919302</v>
      </c>
      <c r="W93" s="225">
        <f t="shared" si="26"/>
        <v>85789698</v>
      </c>
      <c r="X93" s="199">
        <f>SUM(V93/I93)*100</f>
        <v>68.88396896728072</v>
      </c>
    </row>
    <row r="94" spans="1:24" ht="36">
      <c r="A94" s="1"/>
      <c r="B94" s="86" t="s">
        <v>89</v>
      </c>
      <c r="C94" s="87" t="s">
        <v>10</v>
      </c>
      <c r="D94" s="87"/>
      <c r="E94" s="89"/>
      <c r="F94" s="195"/>
      <c r="G94" s="438"/>
      <c r="H94" s="202" t="s">
        <v>103</v>
      </c>
      <c r="I94" s="224">
        <f>SUM(I95+I96+I97)</f>
        <v>8830624000</v>
      </c>
      <c r="J94" s="224">
        <f>SUM(J95+J96+J97)+J98</f>
        <v>641500513</v>
      </c>
      <c r="K94" s="224">
        <f>SUM(K95+K96+K97)+K98</f>
        <v>419489263</v>
      </c>
      <c r="L94" s="224">
        <f>SUM(L95+L96+L97)+L98</f>
        <v>575030718</v>
      </c>
      <c r="M94" s="224">
        <f>SUM(M95+M96+M97)+M98</f>
        <v>430061845</v>
      </c>
      <c r="N94" s="224">
        <f aca="true" t="shared" si="34" ref="N94:V94">SUM(N95+N96+N97)+N98</f>
        <v>1687282191</v>
      </c>
      <c r="O94" s="224">
        <f>SUM(O95+O96+O97)+O98</f>
        <v>601930759</v>
      </c>
      <c r="P94" s="224">
        <f t="shared" si="34"/>
        <v>876638402</v>
      </c>
      <c r="Q94" s="224">
        <f t="shared" si="34"/>
        <v>437202311</v>
      </c>
      <c r="R94" s="224">
        <f t="shared" si="34"/>
        <v>708630014</v>
      </c>
      <c r="S94" s="224">
        <f t="shared" si="34"/>
        <v>0</v>
      </c>
      <c r="T94" s="224">
        <f t="shared" si="34"/>
        <v>0</v>
      </c>
      <c r="U94" s="224">
        <f t="shared" si="34"/>
        <v>0</v>
      </c>
      <c r="V94" s="224">
        <f t="shared" si="34"/>
        <v>6377766016</v>
      </c>
      <c r="W94" s="226">
        <f t="shared" si="26"/>
        <v>2452857984</v>
      </c>
      <c r="X94" s="197">
        <f>SUM(V94/I94)*100</f>
        <v>72.22327681486608</v>
      </c>
    </row>
    <row r="95" spans="1:24" ht="12.75">
      <c r="A95" s="1"/>
      <c r="B95" s="91" t="s">
        <v>89</v>
      </c>
      <c r="C95" s="92" t="s">
        <v>10</v>
      </c>
      <c r="D95" s="92" t="s">
        <v>14</v>
      </c>
      <c r="E95" s="94"/>
      <c r="F95" s="94"/>
      <c r="G95" s="92"/>
      <c r="H95" s="198" t="s">
        <v>104</v>
      </c>
      <c r="I95" s="20">
        <v>8559147000</v>
      </c>
      <c r="J95" s="20">
        <v>534423501</v>
      </c>
      <c r="K95" s="20">
        <v>421398328</v>
      </c>
      <c r="L95" s="20">
        <v>576940746</v>
      </c>
      <c r="M95" s="20">
        <v>431979472</v>
      </c>
      <c r="N95" s="20">
        <v>1689211187</v>
      </c>
      <c r="O95" s="20">
        <v>488883742</v>
      </c>
      <c r="P95" s="20">
        <v>878582983</v>
      </c>
      <c r="Q95" s="20">
        <v>439156246</v>
      </c>
      <c r="R95" s="20">
        <v>710590628</v>
      </c>
      <c r="S95" s="20">
        <v>0</v>
      </c>
      <c r="T95" s="20">
        <v>0</v>
      </c>
      <c r="U95" s="20">
        <v>0</v>
      </c>
      <c r="V95" s="20">
        <f t="shared" si="29"/>
        <v>6171166833</v>
      </c>
      <c r="W95" s="225">
        <f t="shared" si="26"/>
        <v>2387980167</v>
      </c>
      <c r="X95" s="199">
        <f>SUM(V95/I95)*100</f>
        <v>72.1002552357145</v>
      </c>
    </row>
    <row r="96" spans="1:24" ht="12.75">
      <c r="A96" s="1"/>
      <c r="B96" s="91" t="s">
        <v>89</v>
      </c>
      <c r="C96" s="92" t="s">
        <v>10</v>
      </c>
      <c r="D96" s="92" t="s">
        <v>17</v>
      </c>
      <c r="E96" s="94"/>
      <c r="F96" s="94"/>
      <c r="G96" s="92"/>
      <c r="H96" s="198" t="s">
        <v>557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f t="shared" si="29"/>
        <v>0</v>
      </c>
      <c r="W96" s="225">
        <f t="shared" si="26"/>
        <v>0</v>
      </c>
      <c r="X96" s="199" t="e">
        <f>SUM(V96/I96)*100</f>
        <v>#DIV/0!</v>
      </c>
    </row>
    <row r="97" spans="1:24" ht="12.75">
      <c r="A97" s="1"/>
      <c r="B97" s="91" t="s">
        <v>89</v>
      </c>
      <c r="C97" s="92" t="s">
        <v>10</v>
      </c>
      <c r="D97" s="92" t="s">
        <v>22</v>
      </c>
      <c r="E97" s="94"/>
      <c r="F97" s="94"/>
      <c r="G97" s="92"/>
      <c r="H97" s="198" t="s">
        <v>540</v>
      </c>
      <c r="I97" s="20">
        <v>271477000</v>
      </c>
      <c r="J97" s="20">
        <v>108993000</v>
      </c>
      <c r="K97" s="20">
        <v>0</v>
      </c>
      <c r="L97" s="20">
        <v>0</v>
      </c>
      <c r="M97" s="20">
        <v>0</v>
      </c>
      <c r="N97" s="20">
        <v>0</v>
      </c>
      <c r="O97" s="20">
        <v>114986477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f t="shared" si="29"/>
        <v>223979477</v>
      </c>
      <c r="W97" s="225">
        <f t="shared" si="26"/>
        <v>47497523</v>
      </c>
      <c r="X97" s="199">
        <v>0</v>
      </c>
    </row>
    <row r="98" spans="1:24" ht="12.75">
      <c r="A98" s="1"/>
      <c r="B98" s="91" t="s">
        <v>89</v>
      </c>
      <c r="C98" s="92" t="s">
        <v>10</v>
      </c>
      <c r="D98" s="92" t="s">
        <v>22</v>
      </c>
      <c r="E98" s="94"/>
      <c r="F98" s="94" t="s">
        <v>17</v>
      </c>
      <c r="G98" s="92"/>
      <c r="H98" s="198" t="s">
        <v>647</v>
      </c>
      <c r="I98" s="20"/>
      <c r="J98" s="20">
        <v>-1915988</v>
      </c>
      <c r="K98" s="20">
        <v>-1909065</v>
      </c>
      <c r="L98" s="20">
        <v>-1910028</v>
      </c>
      <c r="M98" s="20">
        <v>-1917627</v>
      </c>
      <c r="N98" s="20">
        <v>-1928996</v>
      </c>
      <c r="O98" s="20">
        <v>-1939460</v>
      </c>
      <c r="P98" s="20">
        <v>-1944581</v>
      </c>
      <c r="Q98" s="20">
        <v>-1953935</v>
      </c>
      <c r="R98" s="20">
        <v>-1960614</v>
      </c>
      <c r="S98" s="20"/>
      <c r="T98" s="20"/>
      <c r="U98" s="20"/>
      <c r="V98" s="20">
        <f t="shared" si="29"/>
        <v>-17380294</v>
      </c>
      <c r="W98" s="225">
        <f t="shared" si="26"/>
        <v>17380294</v>
      </c>
      <c r="X98" s="199"/>
    </row>
    <row r="99" spans="1:24" ht="12.75">
      <c r="A99" s="1"/>
      <c r="B99" s="86" t="s">
        <v>89</v>
      </c>
      <c r="C99" s="87" t="s">
        <v>73</v>
      </c>
      <c r="D99" s="87"/>
      <c r="E99" s="89"/>
      <c r="F99" s="195"/>
      <c r="G99" s="438"/>
      <c r="H99" s="196" t="s">
        <v>107</v>
      </c>
      <c r="I99" s="224">
        <f>SUM(I100+I101)</f>
        <v>25356000</v>
      </c>
      <c r="J99" s="224">
        <f>SUM(J100+J101)</f>
        <v>498722</v>
      </c>
      <c r="K99" s="224">
        <f aca="true" t="shared" si="35" ref="K99:U99">SUM(K100+K101)</f>
        <v>904272</v>
      </c>
      <c r="L99" s="224">
        <f t="shared" si="35"/>
        <v>12897425</v>
      </c>
      <c r="M99" s="224">
        <f t="shared" si="35"/>
        <v>4275069</v>
      </c>
      <c r="N99" s="224">
        <f>SUM(N100+N101)</f>
        <v>1796712</v>
      </c>
      <c r="O99" s="224">
        <f>SUM(O100+O101)</f>
        <v>1093280</v>
      </c>
      <c r="P99" s="224">
        <f t="shared" si="35"/>
        <v>583200</v>
      </c>
      <c r="Q99" s="224">
        <f t="shared" si="35"/>
        <v>537300</v>
      </c>
      <c r="R99" s="224">
        <f t="shared" si="35"/>
        <v>1909541</v>
      </c>
      <c r="S99" s="224">
        <f t="shared" si="35"/>
        <v>0</v>
      </c>
      <c r="T99" s="224">
        <f t="shared" si="35"/>
        <v>0</v>
      </c>
      <c r="U99" s="224">
        <f t="shared" si="35"/>
        <v>0</v>
      </c>
      <c r="V99" s="224">
        <f>SUM(V100+V101)</f>
        <v>24495521</v>
      </c>
      <c r="W99" s="226">
        <f t="shared" si="26"/>
        <v>860479</v>
      </c>
      <c r="X99" s="197">
        <f>SUM(V99/I99)*100</f>
        <v>96.60640873954883</v>
      </c>
    </row>
    <row r="100" spans="1:24" ht="12.75">
      <c r="A100" s="1"/>
      <c r="B100" s="110" t="s">
        <v>89</v>
      </c>
      <c r="C100" s="110" t="s">
        <v>73</v>
      </c>
      <c r="D100" s="110" t="s">
        <v>14</v>
      </c>
      <c r="E100" s="120"/>
      <c r="F100" s="120"/>
      <c r="G100" s="110"/>
      <c r="H100" s="206" t="s">
        <v>108</v>
      </c>
      <c r="I100" s="20">
        <v>25356000</v>
      </c>
      <c r="J100" s="20">
        <f>10022+488700</f>
        <v>498722</v>
      </c>
      <c r="K100" s="20">
        <v>904272</v>
      </c>
      <c r="L100" s="20">
        <f>26525+12870900</f>
        <v>12897425</v>
      </c>
      <c r="M100" s="20">
        <f>6369+4268700</f>
        <v>4275069</v>
      </c>
      <c r="N100" s="20">
        <v>1796712</v>
      </c>
      <c r="O100" s="20">
        <v>1093280</v>
      </c>
      <c r="P100" s="20">
        <v>583200</v>
      </c>
      <c r="Q100" s="20">
        <v>537300</v>
      </c>
      <c r="R100" s="20">
        <v>1909541</v>
      </c>
      <c r="S100" s="20">
        <v>0</v>
      </c>
      <c r="T100" s="20">
        <v>0</v>
      </c>
      <c r="U100" s="20">
        <v>0</v>
      </c>
      <c r="V100" s="20">
        <f t="shared" si="29"/>
        <v>24495521</v>
      </c>
      <c r="W100" s="225">
        <f t="shared" si="26"/>
        <v>860479</v>
      </c>
      <c r="X100" s="199">
        <f>SUM(V100/I100)*100</f>
        <v>96.60640873954883</v>
      </c>
    </row>
    <row r="101" spans="1:24" ht="12.75">
      <c r="A101" s="1"/>
      <c r="B101" s="110" t="s">
        <v>89</v>
      </c>
      <c r="C101" s="110" t="s">
        <v>73</v>
      </c>
      <c r="D101" s="110" t="s">
        <v>30</v>
      </c>
      <c r="E101" s="120"/>
      <c r="F101" s="120"/>
      <c r="G101" s="110"/>
      <c r="H101" s="206" t="s">
        <v>109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f t="shared" si="29"/>
        <v>0</v>
      </c>
      <c r="W101" s="225">
        <f t="shared" si="26"/>
        <v>0</v>
      </c>
      <c r="X101" s="199">
        <v>0</v>
      </c>
    </row>
    <row r="102" spans="1:24" ht="12.75">
      <c r="A102" s="1"/>
      <c r="B102" s="86" t="s">
        <v>89</v>
      </c>
      <c r="C102" s="87" t="s">
        <v>40</v>
      </c>
      <c r="D102" s="87"/>
      <c r="E102" s="89"/>
      <c r="F102" s="195"/>
      <c r="G102" s="438"/>
      <c r="H102" s="196" t="s">
        <v>110</v>
      </c>
      <c r="I102" s="224">
        <f>SUM(I103+I104)</f>
        <v>299550000</v>
      </c>
      <c r="J102" s="224">
        <f>SUM(J103+J104)</f>
        <v>5881974</v>
      </c>
      <c r="K102" s="224">
        <f aca="true" t="shared" si="36" ref="K102:U102">SUM(K103+K104)</f>
        <v>1047554</v>
      </c>
      <c r="L102" s="224">
        <f t="shared" si="36"/>
        <v>2307501</v>
      </c>
      <c r="M102" s="224">
        <f t="shared" si="36"/>
        <v>1215593</v>
      </c>
      <c r="N102" s="224">
        <f>SUM(N103+N104)</f>
        <v>14346052</v>
      </c>
      <c r="O102" s="224">
        <f>SUM(O103+O104)</f>
        <v>5094919</v>
      </c>
      <c r="P102" s="224">
        <f t="shared" si="36"/>
        <v>2850994</v>
      </c>
      <c r="Q102" s="224">
        <f t="shared" si="36"/>
        <v>10585742</v>
      </c>
      <c r="R102" s="224">
        <f t="shared" si="36"/>
        <v>38613033</v>
      </c>
      <c r="S102" s="224">
        <f t="shared" si="36"/>
        <v>0</v>
      </c>
      <c r="T102" s="224">
        <f t="shared" si="36"/>
        <v>0</v>
      </c>
      <c r="U102" s="224">
        <f t="shared" si="36"/>
        <v>0</v>
      </c>
      <c r="V102" s="224">
        <f>SUM(V103+V104)</f>
        <v>81943362</v>
      </c>
      <c r="W102" s="226">
        <f t="shared" si="26"/>
        <v>217606638</v>
      </c>
      <c r="X102" s="197">
        <f>SUM(V102/I102)*100</f>
        <v>27.355487230846272</v>
      </c>
    </row>
    <row r="103" spans="1:24" ht="12.75">
      <c r="A103" s="1"/>
      <c r="B103" s="91" t="s">
        <v>89</v>
      </c>
      <c r="C103" s="92" t="s">
        <v>40</v>
      </c>
      <c r="D103" s="92" t="s">
        <v>14</v>
      </c>
      <c r="E103" s="94"/>
      <c r="F103" s="94"/>
      <c r="G103" s="92"/>
      <c r="H103" s="198" t="s">
        <v>111</v>
      </c>
      <c r="I103" s="20">
        <v>20000000</v>
      </c>
      <c r="J103" s="20">
        <v>5110860</v>
      </c>
      <c r="K103" s="20">
        <v>756292</v>
      </c>
      <c r="L103" s="20">
        <v>462539</v>
      </c>
      <c r="M103" s="20">
        <v>879993</v>
      </c>
      <c r="N103" s="20">
        <v>3635201</v>
      </c>
      <c r="O103" s="20">
        <v>4822373</v>
      </c>
      <c r="P103" s="20">
        <v>2538152</v>
      </c>
      <c r="Q103" s="20">
        <v>2077108</v>
      </c>
      <c r="R103" s="20">
        <v>6949514</v>
      </c>
      <c r="S103" s="20">
        <v>0</v>
      </c>
      <c r="T103" s="20">
        <v>0</v>
      </c>
      <c r="U103" s="20">
        <v>0</v>
      </c>
      <c r="V103" s="20">
        <f t="shared" si="29"/>
        <v>27232032</v>
      </c>
      <c r="W103" s="225">
        <f t="shared" si="26"/>
        <v>-7232032</v>
      </c>
      <c r="X103" s="199">
        <f>SUM(V103/I103)*100</f>
        <v>136.16016</v>
      </c>
    </row>
    <row r="104" spans="1:24" ht="12.75">
      <c r="A104" s="1"/>
      <c r="B104" s="91" t="s">
        <v>89</v>
      </c>
      <c r="C104" s="92" t="s">
        <v>40</v>
      </c>
      <c r="D104" s="92" t="s">
        <v>30</v>
      </c>
      <c r="E104" s="94"/>
      <c r="F104" s="94"/>
      <c r="G104" s="92"/>
      <c r="H104" s="198" t="s">
        <v>31</v>
      </c>
      <c r="I104" s="20">
        <v>279550000</v>
      </c>
      <c r="J104" s="20">
        <v>771114</v>
      </c>
      <c r="K104" s="20">
        <v>291262</v>
      </c>
      <c r="L104" s="20">
        <v>1844962</v>
      </c>
      <c r="M104" s="20">
        <v>335600</v>
      </c>
      <c r="N104" s="20">
        <v>10710851</v>
      </c>
      <c r="O104" s="20">
        <v>272546</v>
      </c>
      <c r="P104" s="20">
        <v>312842</v>
      </c>
      <c r="Q104" s="20">
        <v>8508634</v>
      </c>
      <c r="R104" s="20">
        <v>31663519</v>
      </c>
      <c r="S104" s="20">
        <v>0</v>
      </c>
      <c r="T104" s="20">
        <v>0</v>
      </c>
      <c r="U104" s="20">
        <v>0</v>
      </c>
      <c r="V104" s="20">
        <f t="shared" si="29"/>
        <v>54711330</v>
      </c>
      <c r="W104" s="225">
        <f t="shared" si="26"/>
        <v>224838670</v>
      </c>
      <c r="X104" s="199">
        <f>SUM(V104/I104)*100</f>
        <v>19.57121445179753</v>
      </c>
    </row>
    <row r="105" spans="1:24" ht="12.75">
      <c r="A105" s="1"/>
      <c r="B105" s="200"/>
      <c r="C105" s="96"/>
      <c r="D105" s="96"/>
      <c r="E105" s="97"/>
      <c r="F105" s="97"/>
      <c r="G105" s="96"/>
      <c r="H105" s="201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20">
        <f t="shared" si="29"/>
        <v>0</v>
      </c>
      <c r="W105" s="225">
        <f t="shared" si="26"/>
        <v>0</v>
      </c>
      <c r="X105" s="199"/>
    </row>
    <row r="106" spans="1:24" ht="12.75">
      <c r="A106" s="1"/>
      <c r="B106" s="203" t="s">
        <v>112</v>
      </c>
      <c r="C106" s="191"/>
      <c r="D106" s="191"/>
      <c r="E106" s="434"/>
      <c r="F106" s="192"/>
      <c r="G106" s="439"/>
      <c r="H106" s="204" t="s">
        <v>113</v>
      </c>
      <c r="I106" s="222">
        <f>SUM(I107+I108+I109+I110+I111+I112+I113+I114)</f>
        <v>203574000</v>
      </c>
      <c r="J106" s="222">
        <f>SUM(J107+J108+J109+J110+J111+J112+J113+J114)</f>
        <v>0</v>
      </c>
      <c r="K106" s="222">
        <f aca="true" t="shared" si="37" ref="K106:U106">SUM(K107+K108+K109+K110+K111+K112+K113+K114)</f>
        <v>0</v>
      </c>
      <c r="L106" s="222">
        <f t="shared" si="37"/>
        <v>0</v>
      </c>
      <c r="M106" s="222">
        <f t="shared" si="37"/>
        <v>0</v>
      </c>
      <c r="N106" s="222">
        <f>SUM(N107+N108+N109+N110+N111+N112+N113+N114)</f>
        <v>0</v>
      </c>
      <c r="O106" s="222">
        <f>SUM(O107+O108+O109+O110+O111+O112+O113+O114)</f>
        <v>0</v>
      </c>
      <c r="P106" s="222">
        <f t="shared" si="37"/>
        <v>0</v>
      </c>
      <c r="Q106" s="222">
        <f t="shared" si="37"/>
        <v>0</v>
      </c>
      <c r="R106" s="222">
        <f t="shared" si="37"/>
        <v>0</v>
      </c>
      <c r="S106" s="222">
        <f t="shared" si="37"/>
        <v>0</v>
      </c>
      <c r="T106" s="222">
        <f t="shared" si="37"/>
        <v>0</v>
      </c>
      <c r="U106" s="222">
        <f t="shared" si="37"/>
        <v>0</v>
      </c>
      <c r="V106" s="222">
        <f>SUM(V107+V108+V109+V110+V111+V112+V113+V114)</f>
        <v>0</v>
      </c>
      <c r="W106" s="228">
        <f aca="true" t="shared" si="38" ref="W106:W114">I106-V106</f>
        <v>203574000</v>
      </c>
      <c r="X106" s="205">
        <f>SUM(V106/I106)*100</f>
        <v>0</v>
      </c>
    </row>
    <row r="107" spans="1:24" ht="12.75">
      <c r="A107" s="1"/>
      <c r="B107" s="86" t="s">
        <v>112</v>
      </c>
      <c r="C107" s="87" t="s">
        <v>12</v>
      </c>
      <c r="D107" s="87"/>
      <c r="E107" s="89"/>
      <c r="F107" s="195"/>
      <c r="G107" s="438"/>
      <c r="H107" s="196" t="s">
        <v>114</v>
      </c>
      <c r="I107" s="227">
        <v>143574000</v>
      </c>
      <c r="J107" s="227">
        <v>0</v>
      </c>
      <c r="K107" s="227">
        <v>0</v>
      </c>
      <c r="L107" s="227">
        <v>0</v>
      </c>
      <c r="M107" s="227">
        <v>0</v>
      </c>
      <c r="N107" s="227">
        <v>0</v>
      </c>
      <c r="O107" s="227">
        <v>0</v>
      </c>
      <c r="P107" s="227">
        <v>0</v>
      </c>
      <c r="Q107" s="227">
        <v>0</v>
      </c>
      <c r="R107" s="227">
        <v>0</v>
      </c>
      <c r="S107" s="227">
        <v>0</v>
      </c>
      <c r="T107" s="227">
        <v>0</v>
      </c>
      <c r="U107" s="227">
        <v>0</v>
      </c>
      <c r="V107" s="229">
        <f aca="true" t="shared" si="39" ref="V107:V114">SUM(J107:U107)</f>
        <v>0</v>
      </c>
      <c r="W107" s="226">
        <f t="shared" si="38"/>
        <v>143574000</v>
      </c>
      <c r="X107" s="197">
        <v>0</v>
      </c>
    </row>
    <row r="108" spans="1:24" ht="12.75">
      <c r="A108" s="1"/>
      <c r="B108" s="86" t="s">
        <v>112</v>
      </c>
      <c r="C108" s="87" t="s">
        <v>35</v>
      </c>
      <c r="D108" s="87"/>
      <c r="E108" s="89"/>
      <c r="F108" s="195"/>
      <c r="G108" s="438"/>
      <c r="H108" s="196" t="s">
        <v>115</v>
      </c>
      <c r="I108" s="227">
        <v>0</v>
      </c>
      <c r="J108" s="227">
        <v>0</v>
      </c>
      <c r="K108" s="227">
        <v>0</v>
      </c>
      <c r="L108" s="227">
        <v>0</v>
      </c>
      <c r="M108" s="227">
        <v>0</v>
      </c>
      <c r="N108" s="227">
        <v>0</v>
      </c>
      <c r="O108" s="227">
        <v>0</v>
      </c>
      <c r="P108" s="227">
        <v>0</v>
      </c>
      <c r="Q108" s="227">
        <v>0</v>
      </c>
      <c r="R108" s="227">
        <v>0</v>
      </c>
      <c r="S108" s="227">
        <v>0</v>
      </c>
      <c r="T108" s="227">
        <v>0</v>
      </c>
      <c r="U108" s="227">
        <v>0</v>
      </c>
      <c r="V108" s="229">
        <f t="shared" si="39"/>
        <v>0</v>
      </c>
      <c r="W108" s="226">
        <f t="shared" si="38"/>
        <v>0</v>
      </c>
      <c r="X108" s="197">
        <v>0</v>
      </c>
    </row>
    <row r="109" spans="1:24" ht="12.75">
      <c r="A109" s="1"/>
      <c r="B109" s="86" t="s">
        <v>112</v>
      </c>
      <c r="C109" s="87" t="s">
        <v>10</v>
      </c>
      <c r="D109" s="87"/>
      <c r="E109" s="89"/>
      <c r="F109" s="195"/>
      <c r="G109" s="438"/>
      <c r="H109" s="196" t="s">
        <v>116</v>
      </c>
      <c r="I109" s="227">
        <v>60000000</v>
      </c>
      <c r="J109" s="227">
        <v>0</v>
      </c>
      <c r="K109" s="227">
        <v>0</v>
      </c>
      <c r="L109" s="227">
        <v>0</v>
      </c>
      <c r="M109" s="227">
        <v>0</v>
      </c>
      <c r="N109" s="227">
        <v>0</v>
      </c>
      <c r="O109" s="227">
        <v>0</v>
      </c>
      <c r="P109" s="227">
        <v>0</v>
      </c>
      <c r="Q109" s="227">
        <v>0</v>
      </c>
      <c r="R109" s="227">
        <v>0</v>
      </c>
      <c r="S109" s="227">
        <v>0</v>
      </c>
      <c r="T109" s="227">
        <v>0</v>
      </c>
      <c r="U109" s="227">
        <v>0</v>
      </c>
      <c r="V109" s="229">
        <f t="shared" si="39"/>
        <v>0</v>
      </c>
      <c r="W109" s="226">
        <f t="shared" si="38"/>
        <v>60000000</v>
      </c>
      <c r="X109" s="197">
        <f>SUM(V109/I109)*100</f>
        <v>0</v>
      </c>
    </row>
    <row r="110" spans="1:24" ht="12.75">
      <c r="A110" s="1"/>
      <c r="B110" s="86" t="s">
        <v>112</v>
      </c>
      <c r="C110" s="87" t="s">
        <v>73</v>
      </c>
      <c r="D110" s="87"/>
      <c r="E110" s="89"/>
      <c r="F110" s="195"/>
      <c r="G110" s="438"/>
      <c r="H110" s="196" t="s">
        <v>117</v>
      </c>
      <c r="I110" s="227">
        <v>0</v>
      </c>
      <c r="J110" s="227">
        <v>0</v>
      </c>
      <c r="K110" s="227">
        <v>0</v>
      </c>
      <c r="L110" s="227">
        <v>0</v>
      </c>
      <c r="M110" s="227">
        <v>0</v>
      </c>
      <c r="N110" s="227">
        <v>0</v>
      </c>
      <c r="O110" s="227">
        <v>0</v>
      </c>
      <c r="P110" s="227">
        <v>0</v>
      </c>
      <c r="Q110" s="227">
        <v>0</v>
      </c>
      <c r="R110" s="227">
        <v>0</v>
      </c>
      <c r="S110" s="227">
        <v>0</v>
      </c>
      <c r="T110" s="227">
        <v>0</v>
      </c>
      <c r="U110" s="227">
        <v>0</v>
      </c>
      <c r="V110" s="229">
        <f t="shared" si="39"/>
        <v>0</v>
      </c>
      <c r="W110" s="226">
        <f t="shared" si="38"/>
        <v>0</v>
      </c>
      <c r="X110" s="197">
        <v>0</v>
      </c>
    </row>
    <row r="111" spans="1:24" ht="12.75" hidden="1">
      <c r="A111" s="1"/>
      <c r="B111" s="86" t="s">
        <v>112</v>
      </c>
      <c r="C111" s="87" t="s">
        <v>42</v>
      </c>
      <c r="D111" s="87"/>
      <c r="E111" s="89"/>
      <c r="F111" s="195"/>
      <c r="G111" s="438"/>
      <c r="H111" s="196" t="s">
        <v>118</v>
      </c>
      <c r="I111" s="227">
        <v>0</v>
      </c>
      <c r="J111" s="227">
        <v>0</v>
      </c>
      <c r="K111" s="227">
        <v>0</v>
      </c>
      <c r="L111" s="227">
        <v>0</v>
      </c>
      <c r="M111" s="227">
        <v>0</v>
      </c>
      <c r="N111" s="227">
        <v>0</v>
      </c>
      <c r="O111" s="227">
        <v>0</v>
      </c>
      <c r="P111" s="227">
        <v>0</v>
      </c>
      <c r="Q111" s="227">
        <v>0</v>
      </c>
      <c r="R111" s="227">
        <v>0</v>
      </c>
      <c r="S111" s="227">
        <v>0</v>
      </c>
      <c r="T111" s="227">
        <v>0</v>
      </c>
      <c r="U111" s="227">
        <v>0</v>
      </c>
      <c r="V111" s="229">
        <f t="shared" si="39"/>
        <v>0</v>
      </c>
      <c r="W111" s="226">
        <f t="shared" si="38"/>
        <v>0</v>
      </c>
      <c r="X111" s="197">
        <v>0</v>
      </c>
    </row>
    <row r="112" spans="1:24" ht="12.75" hidden="1">
      <c r="A112" s="1"/>
      <c r="B112" s="86" t="s">
        <v>112</v>
      </c>
      <c r="C112" s="87" t="s">
        <v>76</v>
      </c>
      <c r="D112" s="87"/>
      <c r="E112" s="89"/>
      <c r="F112" s="195"/>
      <c r="G112" s="438"/>
      <c r="H112" s="196" t="s">
        <v>119</v>
      </c>
      <c r="I112" s="227">
        <v>0</v>
      </c>
      <c r="J112" s="227">
        <v>0</v>
      </c>
      <c r="K112" s="227">
        <v>0</v>
      </c>
      <c r="L112" s="227">
        <v>0</v>
      </c>
      <c r="M112" s="227">
        <v>0</v>
      </c>
      <c r="N112" s="227">
        <v>0</v>
      </c>
      <c r="O112" s="227">
        <v>0</v>
      </c>
      <c r="P112" s="227">
        <v>0</v>
      </c>
      <c r="Q112" s="227">
        <v>0</v>
      </c>
      <c r="R112" s="227">
        <v>0</v>
      </c>
      <c r="S112" s="227">
        <v>0</v>
      </c>
      <c r="T112" s="227">
        <v>0</v>
      </c>
      <c r="U112" s="227">
        <v>0</v>
      </c>
      <c r="V112" s="229">
        <f t="shared" si="39"/>
        <v>0</v>
      </c>
      <c r="W112" s="226">
        <f t="shared" si="38"/>
        <v>0</v>
      </c>
      <c r="X112" s="197">
        <v>0</v>
      </c>
    </row>
    <row r="113" spans="1:24" ht="12.75" hidden="1">
      <c r="A113" s="1"/>
      <c r="B113" s="86" t="s">
        <v>112</v>
      </c>
      <c r="C113" s="87" t="s">
        <v>78</v>
      </c>
      <c r="D113" s="87"/>
      <c r="E113" s="89"/>
      <c r="F113" s="195"/>
      <c r="G113" s="438"/>
      <c r="H113" s="196" t="s">
        <v>120</v>
      </c>
      <c r="I113" s="227">
        <v>0</v>
      </c>
      <c r="J113" s="227">
        <v>0</v>
      </c>
      <c r="K113" s="227">
        <v>0</v>
      </c>
      <c r="L113" s="227">
        <v>0</v>
      </c>
      <c r="M113" s="227">
        <v>0</v>
      </c>
      <c r="N113" s="227">
        <v>0</v>
      </c>
      <c r="O113" s="227">
        <v>0</v>
      </c>
      <c r="P113" s="227">
        <v>0</v>
      </c>
      <c r="Q113" s="227">
        <v>0</v>
      </c>
      <c r="R113" s="227">
        <v>0</v>
      </c>
      <c r="S113" s="227">
        <v>0</v>
      </c>
      <c r="T113" s="227">
        <v>0</v>
      </c>
      <c r="U113" s="227">
        <v>0</v>
      </c>
      <c r="V113" s="229">
        <f t="shared" si="39"/>
        <v>0</v>
      </c>
      <c r="W113" s="226">
        <f t="shared" si="38"/>
        <v>0</v>
      </c>
      <c r="X113" s="197">
        <v>0</v>
      </c>
    </row>
    <row r="114" spans="1:24" ht="12.75" hidden="1">
      <c r="A114" s="1"/>
      <c r="B114" s="86" t="s">
        <v>112</v>
      </c>
      <c r="C114" s="87" t="s">
        <v>40</v>
      </c>
      <c r="D114" s="87"/>
      <c r="E114" s="89"/>
      <c r="F114" s="195"/>
      <c r="G114" s="438"/>
      <c r="H114" s="196" t="s">
        <v>121</v>
      </c>
      <c r="I114" s="227">
        <v>0</v>
      </c>
      <c r="J114" s="227">
        <v>0</v>
      </c>
      <c r="K114" s="227">
        <v>0</v>
      </c>
      <c r="L114" s="227">
        <v>0</v>
      </c>
      <c r="M114" s="227">
        <v>0</v>
      </c>
      <c r="N114" s="227">
        <v>0</v>
      </c>
      <c r="O114" s="227">
        <v>0</v>
      </c>
      <c r="P114" s="227">
        <v>0</v>
      </c>
      <c r="Q114" s="227">
        <v>0</v>
      </c>
      <c r="R114" s="227">
        <v>0</v>
      </c>
      <c r="S114" s="227">
        <v>0</v>
      </c>
      <c r="T114" s="227">
        <v>0</v>
      </c>
      <c r="U114" s="227">
        <v>0</v>
      </c>
      <c r="V114" s="229">
        <f t="shared" si="39"/>
        <v>0</v>
      </c>
      <c r="W114" s="226">
        <f t="shared" si="38"/>
        <v>0</v>
      </c>
      <c r="X114" s="197">
        <v>0</v>
      </c>
    </row>
    <row r="115" spans="1:24" ht="12.75">
      <c r="A115" s="1"/>
      <c r="B115" s="91"/>
      <c r="C115" s="92"/>
      <c r="D115" s="92"/>
      <c r="E115" s="94"/>
      <c r="F115" s="97"/>
      <c r="G115" s="96"/>
      <c r="H115" s="198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225"/>
      <c r="X115" s="199"/>
    </row>
    <row r="116" spans="1:24" ht="12.75">
      <c r="A116" s="1"/>
      <c r="B116" s="203" t="s">
        <v>122</v>
      </c>
      <c r="C116" s="191"/>
      <c r="D116" s="191"/>
      <c r="E116" s="434"/>
      <c r="F116" s="192"/>
      <c r="G116" s="439"/>
      <c r="H116" s="204" t="s">
        <v>123</v>
      </c>
      <c r="I116" s="222">
        <v>120000000</v>
      </c>
      <c r="J116" s="222">
        <v>0</v>
      </c>
      <c r="K116" s="222">
        <v>0</v>
      </c>
      <c r="L116" s="222">
        <v>0</v>
      </c>
      <c r="M116" s="222"/>
      <c r="N116" s="222"/>
      <c r="O116" s="222"/>
      <c r="P116" s="222">
        <v>0</v>
      </c>
      <c r="Q116" s="222">
        <v>0</v>
      </c>
      <c r="R116" s="222">
        <v>0</v>
      </c>
      <c r="S116" s="222">
        <v>0</v>
      </c>
      <c r="T116" s="222">
        <v>0</v>
      </c>
      <c r="U116" s="222">
        <v>0</v>
      </c>
      <c r="V116" s="222">
        <v>0</v>
      </c>
      <c r="W116" s="228">
        <v>0</v>
      </c>
      <c r="X116" s="205">
        <v>0</v>
      </c>
    </row>
    <row r="117" spans="1:24" ht="12.75">
      <c r="A117" s="1"/>
      <c r="B117" s="200"/>
      <c r="C117" s="96"/>
      <c r="D117" s="96"/>
      <c r="E117" s="97"/>
      <c r="F117" s="97"/>
      <c r="G117" s="96"/>
      <c r="H117" s="201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225"/>
      <c r="X117" s="199"/>
    </row>
    <row r="118" spans="1:24" ht="12.75">
      <c r="A118" s="1"/>
      <c r="B118" s="203" t="s">
        <v>130</v>
      </c>
      <c r="C118" s="191"/>
      <c r="D118" s="191"/>
      <c r="E118" s="434"/>
      <c r="F118" s="192"/>
      <c r="G118" s="439"/>
      <c r="H118" s="204" t="s">
        <v>131</v>
      </c>
      <c r="I118" s="222">
        <f>+I119+I120</f>
        <v>1400882000</v>
      </c>
      <c r="J118" s="222">
        <f aca="true" t="shared" si="40" ref="J118:V118">+J119+J120</f>
        <v>109078076</v>
      </c>
      <c r="K118" s="222">
        <f t="shared" si="40"/>
        <v>82534141</v>
      </c>
      <c r="L118" s="222">
        <f t="shared" si="40"/>
        <v>163805398</v>
      </c>
      <c r="M118" s="222">
        <f t="shared" si="40"/>
        <v>180053028</v>
      </c>
      <c r="N118" s="222">
        <f t="shared" si="40"/>
        <v>58401688</v>
      </c>
      <c r="O118" s="222">
        <f t="shared" si="40"/>
        <v>50174199</v>
      </c>
      <c r="P118" s="222">
        <f t="shared" si="40"/>
        <v>37394221</v>
      </c>
      <c r="Q118" s="222">
        <f t="shared" si="40"/>
        <v>32154030</v>
      </c>
      <c r="R118" s="222">
        <f t="shared" si="40"/>
        <v>32099749</v>
      </c>
      <c r="S118" s="222">
        <f t="shared" si="40"/>
        <v>0</v>
      </c>
      <c r="T118" s="222">
        <f t="shared" si="40"/>
        <v>0</v>
      </c>
      <c r="U118" s="222">
        <f t="shared" si="40"/>
        <v>0</v>
      </c>
      <c r="V118" s="222">
        <f t="shared" si="40"/>
        <v>745694530</v>
      </c>
      <c r="W118" s="228">
        <f>I118-V118</f>
        <v>655187470</v>
      </c>
      <c r="X118" s="205">
        <f>SUM(V118/I118)*100</f>
        <v>53.23035987327983</v>
      </c>
    </row>
    <row r="119" spans="1:24" ht="12.75">
      <c r="A119" s="1"/>
      <c r="B119" s="203" t="s">
        <v>130</v>
      </c>
      <c r="C119" s="191" t="s">
        <v>76</v>
      </c>
      <c r="D119" s="191"/>
      <c r="E119" s="434"/>
      <c r="F119" s="192"/>
      <c r="G119" s="439"/>
      <c r="H119" s="204" t="s">
        <v>133</v>
      </c>
      <c r="I119" s="222">
        <v>96789000</v>
      </c>
      <c r="J119" s="222"/>
      <c r="K119" s="222"/>
      <c r="L119" s="222">
        <v>0</v>
      </c>
      <c r="M119" s="222">
        <v>96788388</v>
      </c>
      <c r="N119" s="222"/>
      <c r="O119" s="222"/>
      <c r="P119" s="222"/>
      <c r="Q119" s="222"/>
      <c r="R119" s="222"/>
      <c r="S119" s="222"/>
      <c r="T119" s="222"/>
      <c r="U119" s="222"/>
      <c r="V119" s="222">
        <f>SUM(J119:U119)</f>
        <v>96788388</v>
      </c>
      <c r="W119" s="228">
        <f>I119-V119</f>
        <v>612</v>
      </c>
      <c r="X119" s="205">
        <f>SUM(V119/I119)*100</f>
        <v>99.9993676967424</v>
      </c>
    </row>
    <row r="120" spans="1:24" ht="12.75">
      <c r="A120" s="1"/>
      <c r="B120" s="86" t="s">
        <v>130</v>
      </c>
      <c r="C120" s="87" t="s">
        <v>112</v>
      </c>
      <c r="D120" s="87"/>
      <c r="E120" s="89"/>
      <c r="F120" s="195"/>
      <c r="G120" s="438"/>
      <c r="H120" s="196" t="s">
        <v>137</v>
      </c>
      <c r="I120" s="227">
        <v>1304093000</v>
      </c>
      <c r="J120" s="227">
        <v>109078076</v>
      </c>
      <c r="K120" s="227">
        <v>82534141</v>
      </c>
      <c r="L120" s="227">
        <v>163805398</v>
      </c>
      <c r="M120" s="227">
        <f>180053028-M119</f>
        <v>83264640</v>
      </c>
      <c r="N120" s="227">
        <v>58401688</v>
      </c>
      <c r="O120" s="227">
        <v>50174199</v>
      </c>
      <c r="P120" s="227">
        <v>37394221</v>
      </c>
      <c r="Q120" s="227">
        <v>32154030</v>
      </c>
      <c r="R120" s="227">
        <v>32099749</v>
      </c>
      <c r="S120" s="227">
        <v>0</v>
      </c>
      <c r="T120" s="227">
        <v>0</v>
      </c>
      <c r="U120" s="227">
        <v>0</v>
      </c>
      <c r="V120" s="229">
        <f>SUM(J120:U120)</f>
        <v>648906142</v>
      </c>
      <c r="W120" s="226">
        <f>I120-V120</f>
        <v>655186858</v>
      </c>
      <c r="X120" s="197">
        <f>SUM(V120/I120)*100</f>
        <v>49.75919217417776</v>
      </c>
    </row>
    <row r="121" spans="1:24" ht="12.75">
      <c r="A121" s="1"/>
      <c r="B121" s="200"/>
      <c r="C121" s="92"/>
      <c r="D121" s="92"/>
      <c r="E121" s="94"/>
      <c r="F121" s="97"/>
      <c r="G121" s="96"/>
      <c r="H121" s="198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225"/>
      <c r="X121" s="199"/>
    </row>
    <row r="122" spans="1:24" ht="12.75">
      <c r="A122" s="1"/>
      <c r="B122" s="203" t="s">
        <v>138</v>
      </c>
      <c r="C122" s="191"/>
      <c r="D122" s="191"/>
      <c r="E122" s="434"/>
      <c r="F122" s="192"/>
      <c r="G122" s="439"/>
      <c r="H122" s="204" t="s">
        <v>139</v>
      </c>
      <c r="I122" s="222">
        <f>SUM(I123+I126)</f>
        <v>260218000</v>
      </c>
      <c r="J122" s="222">
        <f>SUM(J123+J126)</f>
        <v>103652542</v>
      </c>
      <c r="K122" s="222">
        <f aca="true" t="shared" si="41" ref="K122:U122">SUM(K123+K126)</f>
        <v>345584</v>
      </c>
      <c r="L122" s="222">
        <f t="shared" si="41"/>
        <v>0</v>
      </c>
      <c r="M122" s="222">
        <f t="shared" si="41"/>
        <v>5623</v>
      </c>
      <c r="N122" s="222">
        <f>SUM(N123+N126)</f>
        <v>9972405</v>
      </c>
      <c r="O122" s="222">
        <f>SUM(O123+O126)</f>
        <v>26000463</v>
      </c>
      <c r="P122" s="222">
        <f t="shared" si="41"/>
        <v>118263</v>
      </c>
      <c r="Q122" s="222">
        <f t="shared" si="41"/>
        <v>8628983</v>
      </c>
      <c r="R122" s="222">
        <f t="shared" si="41"/>
        <v>256380</v>
      </c>
      <c r="S122" s="222">
        <f t="shared" si="41"/>
        <v>0</v>
      </c>
      <c r="T122" s="222">
        <f t="shared" si="41"/>
        <v>0</v>
      </c>
      <c r="U122" s="222">
        <f t="shared" si="41"/>
        <v>0</v>
      </c>
      <c r="V122" s="222">
        <f>SUM(V123+V126)</f>
        <v>148980243</v>
      </c>
      <c r="W122" s="228">
        <f aca="true" t="shared" si="42" ref="W122:W138">I122-V122</f>
        <v>111237757</v>
      </c>
      <c r="X122" s="205">
        <f>SUM(V122/I122)*100</f>
        <v>57.25208978625614</v>
      </c>
    </row>
    <row r="123" spans="1:24" ht="12.75" hidden="1">
      <c r="A123" s="1"/>
      <c r="B123" s="86" t="s">
        <v>138</v>
      </c>
      <c r="C123" s="87" t="s">
        <v>12</v>
      </c>
      <c r="D123" s="87"/>
      <c r="E123" s="89"/>
      <c r="F123" s="195"/>
      <c r="G123" s="438"/>
      <c r="H123" s="196" t="s">
        <v>44</v>
      </c>
      <c r="I123" s="224">
        <f>SUM(I124+I125)</f>
        <v>0</v>
      </c>
      <c r="J123" s="224">
        <f>SUM(J124+J125)</f>
        <v>0</v>
      </c>
      <c r="K123" s="224">
        <f aca="true" t="shared" si="43" ref="K123:U123">SUM(K124+K125)</f>
        <v>0</v>
      </c>
      <c r="L123" s="224">
        <f t="shared" si="43"/>
        <v>0</v>
      </c>
      <c r="M123" s="224">
        <f t="shared" si="43"/>
        <v>0</v>
      </c>
      <c r="N123" s="224">
        <f>SUM(N124+N125)</f>
        <v>0</v>
      </c>
      <c r="O123" s="224">
        <f>SUM(O124+O125)</f>
        <v>0</v>
      </c>
      <c r="P123" s="224">
        <f t="shared" si="43"/>
        <v>0</v>
      </c>
      <c r="Q123" s="224">
        <f t="shared" si="43"/>
        <v>0</v>
      </c>
      <c r="R123" s="224">
        <f t="shared" si="43"/>
        <v>0</v>
      </c>
      <c r="S123" s="224">
        <f t="shared" si="43"/>
        <v>0</v>
      </c>
      <c r="T123" s="224">
        <f t="shared" si="43"/>
        <v>0</v>
      </c>
      <c r="U123" s="224">
        <f t="shared" si="43"/>
        <v>0</v>
      </c>
      <c r="V123" s="224">
        <f>SUM(V124+V125)</f>
        <v>0</v>
      </c>
      <c r="W123" s="226">
        <f t="shared" si="42"/>
        <v>0</v>
      </c>
      <c r="X123" s="197" t="e">
        <f>SUM(V123/I123)*100</f>
        <v>#DIV/0!</v>
      </c>
    </row>
    <row r="124" spans="1:24" ht="12.75" hidden="1">
      <c r="A124" s="1"/>
      <c r="B124" s="109" t="s">
        <v>138</v>
      </c>
      <c r="C124" s="110" t="s">
        <v>12</v>
      </c>
      <c r="D124" s="110" t="s">
        <v>14</v>
      </c>
      <c r="E124" s="120"/>
      <c r="F124" s="120"/>
      <c r="G124" s="110"/>
      <c r="H124" s="206" t="s">
        <v>140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20">
        <f>SUM(J124:U124)</f>
        <v>0</v>
      </c>
      <c r="W124" s="231">
        <f t="shared" si="42"/>
        <v>0</v>
      </c>
      <c r="X124" s="199">
        <v>0</v>
      </c>
    </row>
    <row r="125" spans="1:24" ht="12.75" hidden="1">
      <c r="A125" s="1"/>
      <c r="B125" s="109" t="s">
        <v>138</v>
      </c>
      <c r="C125" s="110" t="s">
        <v>12</v>
      </c>
      <c r="D125" s="110" t="s">
        <v>30</v>
      </c>
      <c r="E125" s="120"/>
      <c r="F125" s="120"/>
      <c r="G125" s="110"/>
      <c r="H125" s="206" t="s">
        <v>520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20">
        <f>SUM(J125:U125)</f>
        <v>0</v>
      </c>
      <c r="W125" s="231">
        <f t="shared" si="42"/>
        <v>0</v>
      </c>
      <c r="X125" s="199">
        <v>0</v>
      </c>
    </row>
    <row r="126" spans="1:24" ht="12.75">
      <c r="A126" s="1"/>
      <c r="B126" s="86" t="s">
        <v>138</v>
      </c>
      <c r="C126" s="87" t="s">
        <v>10</v>
      </c>
      <c r="D126" s="87"/>
      <c r="E126" s="89"/>
      <c r="F126" s="195"/>
      <c r="G126" s="438"/>
      <c r="H126" s="196" t="s">
        <v>45</v>
      </c>
      <c r="I126" s="224">
        <f>SUM(I127+I131+I133+I137)</f>
        <v>260218000</v>
      </c>
      <c r="J126" s="224">
        <f>SUM(J127+J131+J133+J137)</f>
        <v>103652542</v>
      </c>
      <c r="K126" s="224">
        <f aca="true" t="shared" si="44" ref="K126:U126">SUM(K127+K131+K133+K137)</f>
        <v>345584</v>
      </c>
      <c r="L126" s="224">
        <f t="shared" si="44"/>
        <v>0</v>
      </c>
      <c r="M126" s="224">
        <f t="shared" si="44"/>
        <v>5623</v>
      </c>
      <c r="N126" s="224">
        <f>SUM(N127+N131+N133+N137)</f>
        <v>9972405</v>
      </c>
      <c r="O126" s="224">
        <f>SUM(O127+O131+O133+O137)</f>
        <v>26000463</v>
      </c>
      <c r="P126" s="224">
        <f t="shared" si="44"/>
        <v>118263</v>
      </c>
      <c r="Q126" s="224">
        <f t="shared" si="44"/>
        <v>8628983</v>
      </c>
      <c r="R126" s="224">
        <f t="shared" si="44"/>
        <v>256380</v>
      </c>
      <c r="S126" s="224">
        <f t="shared" si="44"/>
        <v>0</v>
      </c>
      <c r="T126" s="224">
        <f t="shared" si="44"/>
        <v>0</v>
      </c>
      <c r="U126" s="224">
        <f t="shared" si="44"/>
        <v>0</v>
      </c>
      <c r="V126" s="224">
        <f>SUM(V127+V131+V133+V137)</f>
        <v>148980243</v>
      </c>
      <c r="W126" s="226">
        <f t="shared" si="42"/>
        <v>111237757</v>
      </c>
      <c r="X126" s="197">
        <f>SUM(V126/I126)*100</f>
        <v>57.25208978625614</v>
      </c>
    </row>
    <row r="127" spans="1:24" ht="12.75">
      <c r="A127" s="1"/>
      <c r="B127" s="91" t="s">
        <v>138</v>
      </c>
      <c r="C127" s="110" t="s">
        <v>10</v>
      </c>
      <c r="D127" s="110" t="s">
        <v>17</v>
      </c>
      <c r="E127" s="120"/>
      <c r="F127" s="120"/>
      <c r="G127" s="110"/>
      <c r="H127" s="206" t="s">
        <v>47</v>
      </c>
      <c r="I127" s="19">
        <f>SUM(I128+I129+I130)</f>
        <v>237218000</v>
      </c>
      <c r="J127" s="19">
        <f aca="true" t="shared" si="45" ref="J127:U127">SUM(J128+J129+J130)</f>
        <v>103652542</v>
      </c>
      <c r="K127" s="19">
        <f t="shared" si="45"/>
        <v>0</v>
      </c>
      <c r="L127" s="19">
        <f t="shared" si="45"/>
        <v>0</v>
      </c>
      <c r="M127" s="19">
        <f t="shared" si="45"/>
        <v>0</v>
      </c>
      <c r="N127" s="19">
        <f t="shared" si="45"/>
        <v>0</v>
      </c>
      <c r="O127" s="19">
        <f>SUM(O128+O129+O130)</f>
        <v>22731519</v>
      </c>
      <c r="P127" s="19">
        <f t="shared" si="45"/>
        <v>0</v>
      </c>
      <c r="Q127" s="19">
        <f t="shared" si="45"/>
        <v>8232955</v>
      </c>
      <c r="R127" s="19">
        <f t="shared" si="45"/>
        <v>0</v>
      </c>
      <c r="S127" s="19">
        <f t="shared" si="45"/>
        <v>0</v>
      </c>
      <c r="T127" s="19">
        <f t="shared" si="45"/>
        <v>0</v>
      </c>
      <c r="U127" s="19">
        <f t="shared" si="45"/>
        <v>0</v>
      </c>
      <c r="V127" s="20">
        <f aca="true" t="shared" si="46" ref="V127:V139">SUM(J127:U127)</f>
        <v>134617016</v>
      </c>
      <c r="W127" s="225">
        <f t="shared" si="42"/>
        <v>102600984</v>
      </c>
      <c r="X127" s="199">
        <f>SUM(V127/I127)*100</f>
        <v>56.74822989823707</v>
      </c>
    </row>
    <row r="128" spans="1:24" ht="12.75">
      <c r="A128" s="1"/>
      <c r="B128" s="200"/>
      <c r="C128" s="106"/>
      <c r="D128" s="106"/>
      <c r="E128" s="112"/>
      <c r="F128" s="112" t="s">
        <v>14</v>
      </c>
      <c r="G128" s="106"/>
      <c r="H128" s="208" t="s">
        <v>141</v>
      </c>
      <c r="I128" s="20">
        <v>207318000</v>
      </c>
      <c r="J128" s="20">
        <v>103652542</v>
      </c>
      <c r="K128" s="20">
        <v>0</v>
      </c>
      <c r="L128" s="20">
        <v>0</v>
      </c>
      <c r="M128" s="20">
        <v>0</v>
      </c>
      <c r="N128" s="20">
        <v>0</v>
      </c>
      <c r="O128" s="20">
        <v>22731519</v>
      </c>
      <c r="P128" s="20">
        <v>0</v>
      </c>
      <c r="Q128" s="20">
        <v>8232955</v>
      </c>
      <c r="R128" s="20">
        <v>0</v>
      </c>
      <c r="S128" s="20">
        <v>0</v>
      </c>
      <c r="T128" s="20">
        <v>0</v>
      </c>
      <c r="U128" s="20">
        <v>0</v>
      </c>
      <c r="V128" s="20">
        <f t="shared" si="46"/>
        <v>134617016</v>
      </c>
      <c r="W128" s="225">
        <f t="shared" si="42"/>
        <v>72700984</v>
      </c>
      <c r="X128" s="199">
        <f>SUM(V128/I128)*100</f>
        <v>64.93262331297814</v>
      </c>
    </row>
    <row r="129" spans="1:24" ht="12.75">
      <c r="A129" s="1"/>
      <c r="B129" s="200"/>
      <c r="C129" s="106"/>
      <c r="D129" s="106"/>
      <c r="E129" s="112"/>
      <c r="F129" s="112" t="s">
        <v>17</v>
      </c>
      <c r="G129" s="106"/>
      <c r="H129" s="208" t="s">
        <v>142</v>
      </c>
      <c r="I129" s="20">
        <v>29900000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20">
        <v>0</v>
      </c>
      <c r="V129" s="20">
        <f t="shared" si="46"/>
        <v>0</v>
      </c>
      <c r="W129" s="225">
        <f t="shared" si="42"/>
        <v>29900000</v>
      </c>
      <c r="X129" s="199">
        <f>SUM(V129/I129)*100</f>
        <v>0</v>
      </c>
    </row>
    <row r="130" spans="1:24" ht="12.75">
      <c r="A130" s="1"/>
      <c r="B130" s="200"/>
      <c r="C130" s="106"/>
      <c r="D130" s="106"/>
      <c r="E130" s="112"/>
      <c r="F130" s="112" t="s">
        <v>30</v>
      </c>
      <c r="G130" s="106"/>
      <c r="H130" s="208" t="s">
        <v>547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  <c r="V130" s="20">
        <f t="shared" si="46"/>
        <v>0</v>
      </c>
      <c r="W130" s="225">
        <f t="shared" si="42"/>
        <v>0</v>
      </c>
      <c r="X130" s="199" t="e">
        <f>SUM(V130/I130)*100</f>
        <v>#DIV/0!</v>
      </c>
    </row>
    <row r="131" spans="1:24" ht="12.75" hidden="1">
      <c r="A131" s="1"/>
      <c r="B131" s="91" t="s">
        <v>138</v>
      </c>
      <c r="C131" s="110" t="s">
        <v>10</v>
      </c>
      <c r="D131" s="110" t="s">
        <v>28</v>
      </c>
      <c r="E131" s="120"/>
      <c r="F131" s="120"/>
      <c r="G131" s="110"/>
      <c r="H131" s="206" t="s">
        <v>49</v>
      </c>
      <c r="I131" s="19">
        <f>SUM(I132)</f>
        <v>0</v>
      </c>
      <c r="J131" s="19">
        <f aca="true" t="shared" si="47" ref="J131:U131">SUM(J132)</f>
        <v>0</v>
      </c>
      <c r="K131" s="19">
        <f t="shared" si="47"/>
        <v>0</v>
      </c>
      <c r="L131" s="19">
        <f t="shared" si="47"/>
        <v>0</v>
      </c>
      <c r="M131" s="19">
        <f t="shared" si="47"/>
        <v>0</v>
      </c>
      <c r="N131" s="19">
        <f t="shared" si="47"/>
        <v>0</v>
      </c>
      <c r="O131" s="19">
        <f t="shared" si="47"/>
        <v>0</v>
      </c>
      <c r="P131" s="19">
        <f t="shared" si="47"/>
        <v>0</v>
      </c>
      <c r="Q131" s="19">
        <f t="shared" si="47"/>
        <v>0</v>
      </c>
      <c r="R131" s="19">
        <f t="shared" si="47"/>
        <v>0</v>
      </c>
      <c r="S131" s="19">
        <f t="shared" si="47"/>
        <v>0</v>
      </c>
      <c r="T131" s="19">
        <f t="shared" si="47"/>
        <v>0</v>
      </c>
      <c r="U131" s="19">
        <f t="shared" si="47"/>
        <v>0</v>
      </c>
      <c r="V131" s="19">
        <f>SUM(V132)</f>
        <v>0</v>
      </c>
      <c r="W131" s="225">
        <f t="shared" si="42"/>
        <v>0</v>
      </c>
      <c r="X131" s="199">
        <v>0</v>
      </c>
    </row>
    <row r="132" spans="1:24" ht="12.75" hidden="1">
      <c r="A132" s="1"/>
      <c r="B132" s="200"/>
      <c r="C132" s="106"/>
      <c r="D132" s="106"/>
      <c r="E132" s="112"/>
      <c r="F132" s="112" t="s">
        <v>14</v>
      </c>
      <c r="G132" s="106"/>
      <c r="H132" s="208" t="s">
        <v>51</v>
      </c>
      <c r="I132" s="20"/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0</v>
      </c>
      <c r="U132" s="20">
        <v>0</v>
      </c>
      <c r="V132" s="20">
        <f t="shared" si="46"/>
        <v>0</v>
      </c>
      <c r="W132" s="225">
        <f t="shared" si="42"/>
        <v>0</v>
      </c>
      <c r="X132" s="199">
        <v>0</v>
      </c>
    </row>
    <row r="133" spans="1:24" ht="12.75">
      <c r="A133" s="1"/>
      <c r="B133" s="91" t="s">
        <v>138</v>
      </c>
      <c r="C133" s="110" t="s">
        <v>10</v>
      </c>
      <c r="D133" s="110" t="s">
        <v>54</v>
      </c>
      <c r="E133" s="120"/>
      <c r="F133" s="120"/>
      <c r="G133" s="110"/>
      <c r="H133" s="206" t="s">
        <v>62</v>
      </c>
      <c r="I133" s="19">
        <f>SUM(I134+I135)</f>
        <v>23000000</v>
      </c>
      <c r="J133" s="19">
        <f>SUM(J134+J135)</f>
        <v>0</v>
      </c>
      <c r="K133" s="19">
        <f aca="true" t="shared" si="48" ref="K133:T133">SUM(K134+K135)</f>
        <v>345584</v>
      </c>
      <c r="L133" s="19">
        <f t="shared" si="48"/>
        <v>0</v>
      </c>
      <c r="M133" s="19">
        <f t="shared" si="48"/>
        <v>5623</v>
      </c>
      <c r="N133" s="19">
        <f>SUM(N134+N135)</f>
        <v>9972405</v>
      </c>
      <c r="O133" s="19">
        <f>SUM(O134+O135)</f>
        <v>3268944</v>
      </c>
      <c r="P133" s="19">
        <f t="shared" si="48"/>
        <v>118263</v>
      </c>
      <c r="Q133" s="19">
        <f t="shared" si="48"/>
        <v>396028</v>
      </c>
      <c r="R133" s="19">
        <f t="shared" si="48"/>
        <v>256380</v>
      </c>
      <c r="S133" s="19">
        <f t="shared" si="48"/>
        <v>0</v>
      </c>
      <c r="T133" s="19">
        <f t="shared" si="48"/>
        <v>0</v>
      </c>
      <c r="U133" s="19">
        <f>SUM(U134+U136)</f>
        <v>0</v>
      </c>
      <c r="V133" s="19">
        <f>SUM(V134+V136)</f>
        <v>14363227</v>
      </c>
      <c r="W133" s="225">
        <f t="shared" si="42"/>
        <v>8636773</v>
      </c>
      <c r="X133" s="199">
        <f>SUM(V133/I133)*100</f>
        <v>62.44881304347826</v>
      </c>
    </row>
    <row r="134" spans="1:24" ht="12.75">
      <c r="A134" s="1"/>
      <c r="B134" s="200"/>
      <c r="C134" s="106"/>
      <c r="D134" s="106"/>
      <c r="E134" s="112"/>
      <c r="F134" s="112" t="s">
        <v>14</v>
      </c>
      <c r="G134" s="106"/>
      <c r="H134" s="208" t="s">
        <v>143</v>
      </c>
      <c r="I134" s="20">
        <v>23000000</v>
      </c>
      <c r="J134" s="20">
        <v>0</v>
      </c>
      <c r="K134" s="20">
        <v>345584</v>
      </c>
      <c r="L134" s="20">
        <v>0</v>
      </c>
      <c r="M134" s="20">
        <v>5623</v>
      </c>
      <c r="N134" s="20">
        <v>9972405</v>
      </c>
      <c r="O134" s="20">
        <v>3268944</v>
      </c>
      <c r="P134" s="20">
        <v>118263</v>
      </c>
      <c r="Q134" s="20">
        <v>396028</v>
      </c>
      <c r="R134" s="20">
        <v>256380</v>
      </c>
      <c r="S134" s="20">
        <v>0</v>
      </c>
      <c r="T134" s="20">
        <v>0</v>
      </c>
      <c r="U134" s="20">
        <v>0</v>
      </c>
      <c r="V134" s="20">
        <f t="shared" si="46"/>
        <v>14363227</v>
      </c>
      <c r="W134" s="225">
        <f t="shared" si="42"/>
        <v>8636773</v>
      </c>
      <c r="X134" s="199">
        <f>SUM(V134/I134)*100</f>
        <v>62.44881304347826</v>
      </c>
    </row>
    <row r="135" spans="1:24" ht="12.75" hidden="1">
      <c r="A135" s="1"/>
      <c r="B135" s="200"/>
      <c r="C135" s="106"/>
      <c r="D135" s="106"/>
      <c r="E135" s="112"/>
      <c r="F135" s="112" t="s">
        <v>17</v>
      </c>
      <c r="G135" s="106"/>
      <c r="H135" s="208" t="s">
        <v>144</v>
      </c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>
        <f t="shared" si="46"/>
        <v>0</v>
      </c>
      <c r="W135" s="225">
        <f t="shared" si="42"/>
        <v>0</v>
      </c>
      <c r="X135" s="199">
        <v>0</v>
      </c>
    </row>
    <row r="136" spans="1:24" ht="12.75">
      <c r="A136" s="1"/>
      <c r="B136" s="200"/>
      <c r="C136" s="106"/>
      <c r="D136" s="106"/>
      <c r="E136" s="112"/>
      <c r="F136" s="112"/>
      <c r="G136" s="106"/>
      <c r="H136" s="208"/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f t="shared" si="46"/>
        <v>0</v>
      </c>
      <c r="W136" s="225">
        <f t="shared" si="42"/>
        <v>0</v>
      </c>
      <c r="X136" s="199">
        <v>0</v>
      </c>
    </row>
    <row r="137" spans="1:24" ht="12.75">
      <c r="A137" s="1"/>
      <c r="B137" s="91" t="s">
        <v>138</v>
      </c>
      <c r="C137" s="110" t="s">
        <v>10</v>
      </c>
      <c r="D137" s="110" t="s">
        <v>429</v>
      </c>
      <c r="E137" s="120"/>
      <c r="F137" s="120"/>
      <c r="G137" s="110"/>
      <c r="H137" s="206" t="s">
        <v>68</v>
      </c>
      <c r="I137" s="20">
        <f>+I138</f>
        <v>0</v>
      </c>
      <c r="J137" s="20">
        <f aca="true" t="shared" si="49" ref="J137:U137">+J138</f>
        <v>0</v>
      </c>
      <c r="K137" s="20">
        <f t="shared" si="49"/>
        <v>0</v>
      </c>
      <c r="L137" s="20">
        <f t="shared" si="49"/>
        <v>0</v>
      </c>
      <c r="M137" s="20">
        <f t="shared" si="49"/>
        <v>0</v>
      </c>
      <c r="N137" s="20">
        <f t="shared" si="49"/>
        <v>0</v>
      </c>
      <c r="O137" s="20">
        <f t="shared" si="49"/>
        <v>0</v>
      </c>
      <c r="P137" s="20">
        <f t="shared" si="49"/>
        <v>0</v>
      </c>
      <c r="Q137" s="20">
        <f t="shared" si="49"/>
        <v>0</v>
      </c>
      <c r="R137" s="20">
        <f t="shared" si="49"/>
        <v>0</v>
      </c>
      <c r="S137" s="20">
        <f t="shared" si="49"/>
        <v>0</v>
      </c>
      <c r="T137" s="20">
        <f t="shared" si="49"/>
        <v>0</v>
      </c>
      <c r="U137" s="20">
        <f t="shared" si="49"/>
        <v>0</v>
      </c>
      <c r="V137" s="20">
        <f t="shared" si="46"/>
        <v>0</v>
      </c>
      <c r="W137" s="225">
        <f t="shared" si="42"/>
        <v>0</v>
      </c>
      <c r="X137" s="199" t="e">
        <f>SUM(V137/I137)*100</f>
        <v>#DIV/0!</v>
      </c>
    </row>
    <row r="138" spans="1:24" ht="12.75">
      <c r="A138" s="1"/>
      <c r="B138" s="91"/>
      <c r="C138" s="110"/>
      <c r="D138" s="110"/>
      <c r="E138" s="120"/>
      <c r="F138" s="120" t="s">
        <v>17</v>
      </c>
      <c r="G138" s="110"/>
      <c r="H138" s="206" t="s">
        <v>558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f t="shared" si="46"/>
        <v>0</v>
      </c>
      <c r="W138" s="225">
        <f t="shared" si="42"/>
        <v>0</v>
      </c>
      <c r="X138" s="199" t="e">
        <f>SUM(V138/I138)*100</f>
        <v>#DIV/0!</v>
      </c>
    </row>
    <row r="139" spans="1:24" ht="12.75">
      <c r="A139" s="1"/>
      <c r="B139" s="200"/>
      <c r="C139" s="96"/>
      <c r="D139" s="96"/>
      <c r="E139" s="97"/>
      <c r="F139" s="97"/>
      <c r="G139" s="96"/>
      <c r="H139" s="201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20">
        <f t="shared" si="46"/>
        <v>0</v>
      </c>
      <c r="W139" s="225"/>
      <c r="X139" s="199"/>
    </row>
    <row r="140" spans="1:24" ht="12.75">
      <c r="A140" s="1"/>
      <c r="B140" s="203" t="s">
        <v>145</v>
      </c>
      <c r="C140" s="191"/>
      <c r="D140" s="191"/>
      <c r="E140" s="434"/>
      <c r="F140" s="192"/>
      <c r="G140" s="439"/>
      <c r="H140" s="204" t="s">
        <v>146</v>
      </c>
      <c r="I140" s="222">
        <f>+I141</f>
        <v>0</v>
      </c>
      <c r="J140" s="222">
        <f aca="true" t="shared" si="50" ref="J140:U141">+J141</f>
        <v>0</v>
      </c>
      <c r="K140" s="222">
        <f t="shared" si="50"/>
        <v>0</v>
      </c>
      <c r="L140" s="222">
        <f t="shared" si="50"/>
        <v>0</v>
      </c>
      <c r="M140" s="222">
        <f t="shared" si="50"/>
        <v>0</v>
      </c>
      <c r="N140" s="222">
        <f t="shared" si="50"/>
        <v>0</v>
      </c>
      <c r="O140" s="222">
        <f t="shared" si="50"/>
        <v>0</v>
      </c>
      <c r="P140" s="222">
        <f t="shared" si="50"/>
        <v>0</v>
      </c>
      <c r="Q140" s="222">
        <f t="shared" si="50"/>
        <v>0</v>
      </c>
      <c r="R140" s="222">
        <f t="shared" si="50"/>
        <v>0</v>
      </c>
      <c r="S140" s="222">
        <f t="shared" si="50"/>
        <v>0</v>
      </c>
      <c r="T140" s="222">
        <f t="shared" si="50"/>
        <v>0</v>
      </c>
      <c r="U140" s="222">
        <f t="shared" si="50"/>
        <v>0</v>
      </c>
      <c r="V140" s="222">
        <f>SUM(V141)</f>
        <v>0</v>
      </c>
      <c r="W140" s="228">
        <f>I140-V140</f>
        <v>0</v>
      </c>
      <c r="X140" s="205">
        <v>0</v>
      </c>
    </row>
    <row r="141" spans="1:24" ht="12.75">
      <c r="A141" s="1"/>
      <c r="B141" s="86" t="s">
        <v>145</v>
      </c>
      <c r="C141" s="87" t="s">
        <v>12</v>
      </c>
      <c r="D141" s="87"/>
      <c r="E141" s="89"/>
      <c r="F141" s="195"/>
      <c r="G141" s="438"/>
      <c r="H141" s="196" t="s">
        <v>147</v>
      </c>
      <c r="I141" s="224">
        <f>+I142</f>
        <v>0</v>
      </c>
      <c r="J141" s="224">
        <f t="shared" si="50"/>
        <v>0</v>
      </c>
      <c r="K141" s="224">
        <f t="shared" si="50"/>
        <v>0</v>
      </c>
      <c r="L141" s="224">
        <f t="shared" si="50"/>
        <v>0</v>
      </c>
      <c r="M141" s="224">
        <f t="shared" si="50"/>
        <v>0</v>
      </c>
      <c r="N141" s="224">
        <f t="shared" si="50"/>
        <v>0</v>
      </c>
      <c r="O141" s="224">
        <f t="shared" si="50"/>
        <v>0</v>
      </c>
      <c r="P141" s="224">
        <f t="shared" si="50"/>
        <v>0</v>
      </c>
      <c r="Q141" s="224">
        <f t="shared" si="50"/>
        <v>0</v>
      </c>
      <c r="R141" s="224">
        <f t="shared" si="50"/>
        <v>0</v>
      </c>
      <c r="S141" s="224">
        <f t="shared" si="50"/>
        <v>0</v>
      </c>
      <c r="T141" s="224">
        <f t="shared" si="50"/>
        <v>0</v>
      </c>
      <c r="U141" s="224">
        <f t="shared" si="50"/>
        <v>0</v>
      </c>
      <c r="V141" s="224">
        <f>+V142</f>
        <v>0</v>
      </c>
      <c r="W141" s="226">
        <f>I141-V141</f>
        <v>0</v>
      </c>
      <c r="X141" s="199">
        <v>0</v>
      </c>
    </row>
    <row r="142" spans="1:24" ht="12.75">
      <c r="A142" s="1"/>
      <c r="B142" s="91"/>
      <c r="C142" s="96"/>
      <c r="D142" s="96" t="s">
        <v>17</v>
      </c>
      <c r="E142" s="97"/>
      <c r="F142" s="97"/>
      <c r="G142" s="96"/>
      <c r="H142" s="201" t="s">
        <v>535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20">
        <f>SUM(J142:U142)</f>
        <v>0</v>
      </c>
      <c r="W142" s="225"/>
      <c r="X142" s="199"/>
    </row>
    <row r="143" spans="1:24" ht="12.75">
      <c r="A143" s="1"/>
      <c r="B143" s="203" t="s">
        <v>150</v>
      </c>
      <c r="C143" s="191"/>
      <c r="D143" s="191"/>
      <c r="E143" s="434"/>
      <c r="F143" s="192"/>
      <c r="G143" s="439"/>
      <c r="H143" s="204" t="s">
        <v>151</v>
      </c>
      <c r="I143" s="232">
        <f>+I144</f>
        <v>2737566000</v>
      </c>
      <c r="J143" s="232">
        <f aca="true" t="shared" si="51" ref="J143:U143">+J144</f>
        <v>0</v>
      </c>
      <c r="K143" s="232">
        <f t="shared" si="51"/>
        <v>0</v>
      </c>
      <c r="L143" s="232">
        <f t="shared" si="51"/>
        <v>0</v>
      </c>
      <c r="M143" s="232">
        <f t="shared" si="51"/>
        <v>0</v>
      </c>
      <c r="N143" s="232">
        <f t="shared" si="51"/>
        <v>0</v>
      </c>
      <c r="O143" s="232">
        <f t="shared" si="51"/>
        <v>0</v>
      </c>
      <c r="P143" s="232">
        <f t="shared" si="51"/>
        <v>0</v>
      </c>
      <c r="Q143" s="232">
        <f t="shared" si="51"/>
        <v>0</v>
      </c>
      <c r="R143" s="232">
        <f t="shared" si="51"/>
        <v>0</v>
      </c>
      <c r="S143" s="232">
        <f t="shared" si="51"/>
        <v>0</v>
      </c>
      <c r="T143" s="232">
        <f t="shared" si="51"/>
        <v>0</v>
      </c>
      <c r="U143" s="232">
        <f t="shared" si="51"/>
        <v>0</v>
      </c>
      <c r="V143" s="232"/>
      <c r="W143" s="228">
        <f>I143-V143</f>
        <v>2737566000</v>
      </c>
      <c r="X143" s="205">
        <v>0</v>
      </c>
    </row>
    <row r="144" spans="1:24" ht="12.75">
      <c r="A144" s="1"/>
      <c r="B144" s="91"/>
      <c r="C144" s="92"/>
      <c r="D144" s="92"/>
      <c r="E144" s="94"/>
      <c r="F144" s="97"/>
      <c r="G144" s="96"/>
      <c r="H144" s="198" t="s">
        <v>559</v>
      </c>
      <c r="I144" s="19">
        <v>2737566000</v>
      </c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225"/>
      <c r="X144" s="199"/>
    </row>
    <row r="145" spans="1:24" ht="12.75">
      <c r="A145" s="1"/>
      <c r="B145" s="209"/>
      <c r="C145" s="123"/>
      <c r="D145" s="123"/>
      <c r="E145" s="124"/>
      <c r="F145" s="128"/>
      <c r="G145" s="127"/>
      <c r="H145" s="210" t="s">
        <v>152</v>
      </c>
      <c r="I145" s="33">
        <f aca="true" t="shared" si="52" ref="I145:W145">SUM(I7+I43+I60+I64+I68+I106+I116+I118+I122+I140+I143)</f>
        <v>44380508000</v>
      </c>
      <c r="J145" s="33">
        <f t="shared" si="52"/>
        <v>3458978357</v>
      </c>
      <c r="K145" s="33">
        <f t="shared" si="52"/>
        <v>1758585355</v>
      </c>
      <c r="L145" s="33">
        <f t="shared" si="52"/>
        <v>4841423197</v>
      </c>
      <c r="M145" s="33">
        <f t="shared" si="52"/>
        <v>1632764154</v>
      </c>
      <c r="N145" s="33">
        <f t="shared" si="52"/>
        <v>3708439203</v>
      </c>
      <c r="O145" s="33">
        <f t="shared" si="52"/>
        <v>1627118027</v>
      </c>
      <c r="P145" s="33">
        <f t="shared" si="52"/>
        <v>11501997507</v>
      </c>
      <c r="Q145" s="33">
        <f t="shared" si="52"/>
        <v>3081837779</v>
      </c>
      <c r="R145" s="33">
        <f t="shared" si="52"/>
        <v>2793659514</v>
      </c>
      <c r="S145" s="33">
        <f t="shared" si="52"/>
        <v>0</v>
      </c>
      <c r="T145" s="33">
        <f t="shared" si="52"/>
        <v>0</v>
      </c>
      <c r="U145" s="33">
        <f t="shared" si="52"/>
        <v>0</v>
      </c>
      <c r="V145" s="33">
        <f t="shared" si="52"/>
        <v>34404803093</v>
      </c>
      <c r="W145" s="233">
        <f t="shared" si="52"/>
        <v>9855704907</v>
      </c>
      <c r="X145" s="79">
        <f>SUM(V145/I145)*100</f>
        <v>77.5223282550078</v>
      </c>
    </row>
    <row r="146" spans="1:24" ht="13.5" thickBot="1">
      <c r="A146" s="1"/>
      <c r="B146" s="211"/>
      <c r="C146" s="212"/>
      <c r="D146" s="212"/>
      <c r="E146" s="213"/>
      <c r="F146" s="213"/>
      <c r="G146" s="212"/>
      <c r="H146" s="21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  <c r="V146" s="234"/>
      <c r="W146" s="235"/>
      <c r="X146" s="199"/>
    </row>
    <row r="147" spans="10:24" ht="12.75">
      <c r="J147" s="218"/>
      <c r="K147" s="218"/>
      <c r="L147" s="218"/>
      <c r="M147" s="218"/>
      <c r="N147" s="218"/>
      <c r="O147" s="261"/>
      <c r="P147" s="218"/>
      <c r="Q147" s="218"/>
      <c r="R147" s="218"/>
      <c r="S147" s="218"/>
      <c r="T147" s="218"/>
      <c r="U147" s="218"/>
      <c r="V147" s="218">
        <f>SUM(J145:U145)</f>
        <v>34404803093</v>
      </c>
      <c r="W147" s="218"/>
      <c r="X147" s="218"/>
    </row>
    <row r="148" ht="12.75">
      <c r="V148" s="218"/>
    </row>
    <row r="149" ht="12.75">
      <c r="V149" s="218"/>
    </row>
  </sheetData>
  <sheetProtection/>
  <protectedRanges>
    <protectedRange password="C1A2" sqref="J7:S9" name="Rango1"/>
  </protectedRanges>
  <printOptions/>
  <pageMargins left="0" right="0.3937007874015748" top="0.3937007874015748" bottom="0.7874015748031497" header="0" footer="0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Y458"/>
  <sheetViews>
    <sheetView zoomScalePageLayoutView="0" workbookViewId="0" topLeftCell="A7">
      <pane xSplit="7" ySplit="2" topLeftCell="H404" activePane="bottomRight" state="frozen"/>
      <selection pane="topLeft" activeCell="A7" sqref="A7"/>
      <selection pane="topRight" activeCell="H7" sqref="H7"/>
      <selection pane="bottomLeft" activeCell="A9" sqref="A9"/>
      <selection pane="bottomRight" activeCell="H434" sqref="H434"/>
    </sheetView>
  </sheetViews>
  <sheetFormatPr defaultColWidth="11.421875" defaultRowHeight="12.75"/>
  <cols>
    <col min="1" max="1" width="3.8515625" style="0" customWidth="1"/>
    <col min="2" max="2" width="4.140625" style="0" customWidth="1"/>
    <col min="3" max="3" width="3.28125" style="0" customWidth="1"/>
    <col min="4" max="4" width="4.00390625" style="0" customWidth="1"/>
    <col min="5" max="5" width="5.28125" style="0" customWidth="1"/>
    <col min="6" max="6" width="4.7109375" style="0" customWidth="1"/>
    <col min="7" max="7" width="37.00390625" style="0" customWidth="1"/>
    <col min="8" max="8" width="11.7109375" style="0" customWidth="1"/>
    <col min="9" max="9" width="11.140625" style="0" customWidth="1"/>
    <col min="10" max="10" width="11.28125" style="0" customWidth="1"/>
    <col min="11" max="11" width="11.421875" style="0" customWidth="1"/>
    <col min="12" max="12" width="11.140625" style="0" customWidth="1"/>
    <col min="13" max="13" width="10.8515625" style="0" customWidth="1"/>
    <col min="14" max="14" width="11.421875" style="0" customWidth="1"/>
    <col min="15" max="15" width="10.8515625" style="0" customWidth="1"/>
    <col min="16" max="17" width="11.00390625" style="0" customWidth="1"/>
    <col min="18" max="18" width="11.57421875" style="0" hidden="1" customWidth="1"/>
    <col min="19" max="19" width="11.00390625" style="0" hidden="1" customWidth="1"/>
    <col min="20" max="20" width="11.421875" style="0" hidden="1" customWidth="1"/>
    <col min="21" max="21" width="11.8515625" style="0" customWidth="1"/>
    <col min="22" max="22" width="11.7109375" style="0" customWidth="1"/>
    <col min="23" max="23" width="10.28125" style="0" customWidth="1"/>
    <col min="24" max="24" width="6.421875" style="0" customWidth="1"/>
    <col min="25" max="25" width="5.57421875" style="0" customWidth="1"/>
  </cols>
  <sheetData>
    <row r="2" spans="2:23" ht="15.75">
      <c r="B2" s="18" t="s">
        <v>0</v>
      </c>
      <c r="C2" s="6"/>
      <c r="D2" s="6"/>
      <c r="E2" s="2"/>
      <c r="F2" s="2"/>
      <c r="G2" s="3"/>
      <c r="H2" s="3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ht="15.75">
      <c r="B3" s="18" t="s">
        <v>1</v>
      </c>
      <c r="C3" s="6"/>
      <c r="D3" s="6"/>
      <c r="E3" s="2"/>
      <c r="F3" s="2"/>
      <c r="G3" s="3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ht="15.75">
      <c r="B4" s="18"/>
      <c r="C4" s="6"/>
      <c r="D4" s="6"/>
      <c r="E4" s="2"/>
      <c r="F4" s="2"/>
      <c r="G4" s="3"/>
      <c r="H4" s="3" t="s">
        <v>153</v>
      </c>
      <c r="I4" s="5"/>
      <c r="J4" s="5"/>
      <c r="K4" s="5"/>
      <c r="L4" s="5"/>
      <c r="M4" s="5"/>
      <c r="N4" s="5"/>
      <c r="O4" s="436">
        <f>700019743-O8</f>
        <v>0</v>
      </c>
      <c r="P4" s="5"/>
      <c r="Q4" s="5"/>
      <c r="R4" s="5"/>
      <c r="S4" s="5"/>
      <c r="T4" s="5"/>
      <c r="U4" s="5"/>
      <c r="V4" s="5"/>
      <c r="W4" s="5"/>
    </row>
    <row r="5" spans="2:23" ht="18.75">
      <c r="B5" s="9"/>
      <c r="C5" s="9"/>
      <c r="D5" s="9"/>
      <c r="E5" s="7"/>
      <c r="F5" s="7"/>
      <c r="G5" s="332" t="s">
        <v>672</v>
      </c>
      <c r="H5" s="22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4" ht="36.75" customHeight="1">
      <c r="B6" s="314" t="s">
        <v>2</v>
      </c>
      <c r="C6" s="315" t="s">
        <v>3</v>
      </c>
      <c r="D6" s="315" t="s">
        <v>4</v>
      </c>
      <c r="E6" s="315" t="s">
        <v>154</v>
      </c>
      <c r="F6" s="315" t="s">
        <v>155</v>
      </c>
      <c r="G6" s="316" t="s">
        <v>6</v>
      </c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317"/>
      <c r="X6" s="318"/>
    </row>
    <row r="7" spans="2:25" ht="23.25" thickBot="1">
      <c r="B7" s="306"/>
      <c r="C7" s="307"/>
      <c r="D7" s="308"/>
      <c r="E7" s="307"/>
      <c r="F7" s="309"/>
      <c r="G7" s="80"/>
      <c r="H7" s="310" t="s">
        <v>156</v>
      </c>
      <c r="I7" s="310" t="s">
        <v>490</v>
      </c>
      <c r="J7" s="310" t="s">
        <v>491</v>
      </c>
      <c r="K7" s="310" t="s">
        <v>492</v>
      </c>
      <c r="L7" s="310" t="s">
        <v>493</v>
      </c>
      <c r="M7" s="310" t="s">
        <v>494</v>
      </c>
      <c r="N7" s="310" t="s">
        <v>495</v>
      </c>
      <c r="O7" s="310" t="s">
        <v>496</v>
      </c>
      <c r="P7" s="310" t="s">
        <v>497</v>
      </c>
      <c r="Q7" s="310" t="s">
        <v>502</v>
      </c>
      <c r="R7" s="310" t="s">
        <v>499</v>
      </c>
      <c r="S7" s="310" t="s">
        <v>500</v>
      </c>
      <c r="T7" s="310" t="s">
        <v>501</v>
      </c>
      <c r="U7" s="311" t="s">
        <v>157</v>
      </c>
      <c r="V7" s="312" t="s">
        <v>158</v>
      </c>
      <c r="W7" s="313" t="s">
        <v>519</v>
      </c>
      <c r="X7" s="313" t="s">
        <v>510</v>
      </c>
      <c r="Y7" s="16"/>
    </row>
    <row r="8" spans="2:24" ht="12.75">
      <c r="B8" s="81" t="s">
        <v>159</v>
      </c>
      <c r="C8" s="82"/>
      <c r="D8" s="83"/>
      <c r="E8" s="82"/>
      <c r="F8" s="84"/>
      <c r="G8" s="85" t="s">
        <v>160</v>
      </c>
      <c r="H8" s="321">
        <f aca="true" t="shared" si="0" ref="H8:U8">SUM(H9+H113+H191+H202)</f>
        <v>7275496000</v>
      </c>
      <c r="I8" s="321">
        <f t="shared" si="0"/>
        <v>503922479</v>
      </c>
      <c r="J8" s="321">
        <f t="shared" si="0"/>
        <v>533999309</v>
      </c>
      <c r="K8" s="321">
        <f t="shared" si="0"/>
        <v>506808643</v>
      </c>
      <c r="L8" s="319">
        <f t="shared" si="0"/>
        <v>555784000</v>
      </c>
      <c r="M8" s="236">
        <f t="shared" si="0"/>
        <v>716330737</v>
      </c>
      <c r="N8" s="236">
        <f>SUM(N9+N113+N191+N202)</f>
        <v>525372026</v>
      </c>
      <c r="O8" s="236">
        <f t="shared" si="0"/>
        <v>700019743</v>
      </c>
      <c r="P8" s="236">
        <f t="shared" si="0"/>
        <v>521141958</v>
      </c>
      <c r="Q8" s="236">
        <f t="shared" si="0"/>
        <v>522461461</v>
      </c>
      <c r="R8" s="236">
        <f t="shared" si="0"/>
        <v>0</v>
      </c>
      <c r="S8" s="236">
        <f t="shared" si="0"/>
        <v>0</v>
      </c>
      <c r="T8" s="239">
        <f t="shared" si="0"/>
        <v>0</v>
      </c>
      <c r="U8" s="321">
        <f t="shared" si="0"/>
        <v>5085840356</v>
      </c>
      <c r="V8" s="238">
        <f aca="true" t="shared" si="1" ref="V8:V39">H8-U8</f>
        <v>2189655644</v>
      </c>
      <c r="W8" s="236">
        <f>SUM(W9+W113+W191+W202)</f>
        <v>5259904</v>
      </c>
      <c r="X8" s="240">
        <f>SUM(U8/H8)*100</f>
        <v>69.90369255924269</v>
      </c>
    </row>
    <row r="9" spans="2:24" ht="12.75">
      <c r="B9" s="86" t="s">
        <v>159</v>
      </c>
      <c r="C9" s="87" t="s">
        <v>12</v>
      </c>
      <c r="D9" s="88"/>
      <c r="E9" s="87"/>
      <c r="F9" s="89"/>
      <c r="G9" s="90" t="s">
        <v>161</v>
      </c>
      <c r="H9" s="226">
        <f aca="true" t="shared" si="2" ref="H9:U9">SUM(H10+H78+H83+H97+H105)</f>
        <v>4018292000</v>
      </c>
      <c r="I9" s="226">
        <f t="shared" si="2"/>
        <v>286904515</v>
      </c>
      <c r="J9" s="226">
        <f t="shared" si="2"/>
        <v>265220835</v>
      </c>
      <c r="K9" s="226">
        <f t="shared" si="2"/>
        <v>267272099</v>
      </c>
      <c r="L9" s="226">
        <f t="shared" si="2"/>
        <v>294495791</v>
      </c>
      <c r="M9" s="226">
        <f t="shared" si="2"/>
        <v>428729937</v>
      </c>
      <c r="N9" s="226">
        <f>SUM(N10+N78+N83+N97+N105)</f>
        <v>268832591</v>
      </c>
      <c r="O9" s="226">
        <f t="shared" si="2"/>
        <v>422073861</v>
      </c>
      <c r="P9" s="226">
        <f t="shared" si="2"/>
        <v>289915317</v>
      </c>
      <c r="Q9" s="226">
        <f t="shared" si="2"/>
        <v>282864030</v>
      </c>
      <c r="R9" s="226">
        <f t="shared" si="2"/>
        <v>0</v>
      </c>
      <c r="S9" s="226">
        <f t="shared" si="2"/>
        <v>0</v>
      </c>
      <c r="T9" s="226">
        <f t="shared" si="2"/>
        <v>0</v>
      </c>
      <c r="U9" s="226">
        <f t="shared" si="2"/>
        <v>2806308976</v>
      </c>
      <c r="V9" s="242">
        <f t="shared" si="1"/>
        <v>1211983024</v>
      </c>
      <c r="W9" s="241">
        <f>SUM(W10+W78+W83+W97+W105)</f>
        <v>0</v>
      </c>
      <c r="X9" s="245">
        <f>SUM(U9/H9)*100</f>
        <v>69.83835360894629</v>
      </c>
    </row>
    <row r="10" spans="2:24" ht="12.75">
      <c r="B10" s="91" t="s">
        <v>159</v>
      </c>
      <c r="C10" s="92" t="s">
        <v>12</v>
      </c>
      <c r="D10" s="93" t="s">
        <v>14</v>
      </c>
      <c r="E10" s="92"/>
      <c r="F10" s="94"/>
      <c r="G10" s="95" t="s">
        <v>162</v>
      </c>
      <c r="H10" s="225">
        <f>SUM(H11+H12+H16+H18+H23+H27+H30+H39+H41+H43+H52+H55+H57+H58+H61+H62+H63+H68+H71+H72+H73+H74+H75+H77)</f>
        <v>3291470000</v>
      </c>
      <c r="I10" s="225">
        <f aca="true" t="shared" si="3" ref="I10:U10">SUM(I11+I12+I16+I18+I23+I27+I30+I39+I41+I43+I52+I55+I57+I58+I61+I62+I63+I68+I71+I72+I73+I74+I75+I77)</f>
        <v>266343900</v>
      </c>
      <c r="J10" s="225">
        <f t="shared" si="3"/>
        <v>244406903</v>
      </c>
      <c r="K10" s="225">
        <f t="shared" si="3"/>
        <v>243739281</v>
      </c>
      <c r="L10" s="225">
        <f t="shared" si="3"/>
        <v>238640248</v>
      </c>
      <c r="M10" s="225">
        <f t="shared" si="3"/>
        <v>311859059</v>
      </c>
      <c r="N10" s="225">
        <f>SUM(N11+N12+N16+N18+N23+N27+N30+N39+N41+N43+N52+N55+N57+N58+N61+N62+N63+N68+N71+N72+N73+N74+N75+N77)</f>
        <v>241095403</v>
      </c>
      <c r="O10" s="225">
        <f t="shared" si="3"/>
        <v>307496787</v>
      </c>
      <c r="P10" s="225">
        <f t="shared" si="3"/>
        <v>245928816</v>
      </c>
      <c r="Q10" s="225">
        <f t="shared" si="3"/>
        <v>245380757</v>
      </c>
      <c r="R10" s="225">
        <f t="shared" si="3"/>
        <v>0</v>
      </c>
      <c r="S10" s="225">
        <f t="shared" si="3"/>
        <v>0</v>
      </c>
      <c r="T10" s="225">
        <f t="shared" si="3"/>
        <v>0</v>
      </c>
      <c r="U10" s="225">
        <f t="shared" si="3"/>
        <v>2344891154</v>
      </c>
      <c r="V10" s="246">
        <f t="shared" si="1"/>
        <v>946578846</v>
      </c>
      <c r="W10" s="34">
        <f>SUM(W11+W12+W16+W18+W23+W27+W30+W39+W41+W43+W52+W55+W58+W61+W62+W63+W68+W71+W72+W73+W74+W75+W77)</f>
        <v>0</v>
      </c>
      <c r="X10" s="247">
        <f>SUM(U10/H10)*100</f>
        <v>71.24145606674222</v>
      </c>
    </row>
    <row r="11" spans="2:24" ht="12.75">
      <c r="B11" s="91"/>
      <c r="C11" s="92"/>
      <c r="D11" s="93"/>
      <c r="E11" s="96" t="s">
        <v>14</v>
      </c>
      <c r="F11" s="97"/>
      <c r="G11" s="98" t="s">
        <v>163</v>
      </c>
      <c r="H11" s="322">
        <v>989059000</v>
      </c>
      <c r="I11" s="322">
        <v>78638337</v>
      </c>
      <c r="J11" s="322">
        <v>78613329</v>
      </c>
      <c r="K11" s="322">
        <v>78460261</v>
      </c>
      <c r="L11" s="322">
        <v>77121885</v>
      </c>
      <c r="M11" s="322">
        <v>77979787</v>
      </c>
      <c r="N11" s="322">
        <v>77812038</v>
      </c>
      <c r="O11" s="322">
        <v>77067745</v>
      </c>
      <c r="P11" s="322">
        <v>79656344</v>
      </c>
      <c r="Q11" s="322">
        <v>79602198</v>
      </c>
      <c r="R11" s="322">
        <v>0</v>
      </c>
      <c r="S11" s="322">
        <v>0</v>
      </c>
      <c r="T11" s="322">
        <v>0</v>
      </c>
      <c r="U11" s="322">
        <f>SUM(I11:T11)</f>
        <v>704951924</v>
      </c>
      <c r="V11" s="248">
        <f t="shared" si="1"/>
        <v>284107076</v>
      </c>
      <c r="W11" s="35">
        <v>0</v>
      </c>
      <c r="X11" s="247">
        <f>SUM(U11/H11)*100</f>
        <v>71.2750123096802</v>
      </c>
    </row>
    <row r="12" spans="2:24" ht="12.75">
      <c r="B12" s="91"/>
      <c r="C12" s="92"/>
      <c r="D12" s="93"/>
      <c r="E12" s="96" t="s">
        <v>17</v>
      </c>
      <c r="F12" s="94"/>
      <c r="G12" s="98" t="s">
        <v>164</v>
      </c>
      <c r="H12" s="225">
        <f>SUM(H13:H15)</f>
        <v>141526000</v>
      </c>
      <c r="I12" s="225">
        <f>SUM(I13:I15)</f>
        <v>11655292</v>
      </c>
      <c r="J12" s="225">
        <f aca="true" t="shared" si="4" ref="J12:S12">SUM(J13:J15)</f>
        <v>12120176</v>
      </c>
      <c r="K12" s="225">
        <f t="shared" si="4"/>
        <v>11837184</v>
      </c>
      <c r="L12" s="225">
        <f t="shared" si="4"/>
        <v>11648789</v>
      </c>
      <c r="M12" s="225">
        <f t="shared" si="4"/>
        <v>11721615</v>
      </c>
      <c r="N12" s="225">
        <f>SUM(N13:N15)</f>
        <v>11860644</v>
      </c>
      <c r="O12" s="225">
        <f t="shared" si="4"/>
        <v>11625740</v>
      </c>
      <c r="P12" s="225">
        <f t="shared" si="4"/>
        <v>11995805</v>
      </c>
      <c r="Q12" s="225">
        <f t="shared" si="4"/>
        <v>12022088</v>
      </c>
      <c r="R12" s="225">
        <f t="shared" si="4"/>
        <v>0</v>
      </c>
      <c r="S12" s="225">
        <f t="shared" si="4"/>
        <v>0</v>
      </c>
      <c r="T12" s="225">
        <f>SUM(T13:T15)</f>
        <v>0</v>
      </c>
      <c r="U12" s="225">
        <f>SUM(U13:U15)</f>
        <v>106487333</v>
      </c>
      <c r="V12" s="246">
        <f t="shared" si="1"/>
        <v>35038667</v>
      </c>
      <c r="W12" s="37">
        <f>SUM(W13:W15)</f>
        <v>0</v>
      </c>
      <c r="X12" s="247">
        <f>SUM(U12/H12)*100</f>
        <v>75.24224029506946</v>
      </c>
    </row>
    <row r="13" spans="2:24" ht="12.75" hidden="1">
      <c r="B13" s="91"/>
      <c r="C13" s="92"/>
      <c r="D13" s="93"/>
      <c r="E13" s="96"/>
      <c r="F13" s="97" t="s">
        <v>14</v>
      </c>
      <c r="G13" s="98" t="s">
        <v>165</v>
      </c>
      <c r="H13" s="322">
        <v>0</v>
      </c>
      <c r="I13" s="322">
        <v>0</v>
      </c>
      <c r="J13" s="322">
        <v>0</v>
      </c>
      <c r="K13" s="322">
        <v>0</v>
      </c>
      <c r="L13" s="322">
        <v>0</v>
      </c>
      <c r="M13" s="322">
        <v>0</v>
      </c>
      <c r="N13" s="322">
        <v>0</v>
      </c>
      <c r="O13" s="322">
        <v>0</v>
      </c>
      <c r="P13" s="322">
        <v>0</v>
      </c>
      <c r="Q13" s="322">
        <v>0</v>
      </c>
      <c r="R13" s="322">
        <v>0</v>
      </c>
      <c r="S13" s="322">
        <v>0</v>
      </c>
      <c r="T13" s="322">
        <v>0</v>
      </c>
      <c r="U13" s="322">
        <f aca="true" t="shared" si="5" ref="U13:U76">SUM(I13:T13)</f>
        <v>0</v>
      </c>
      <c r="V13" s="248">
        <f t="shared" si="1"/>
        <v>0</v>
      </c>
      <c r="W13" s="35">
        <v>0</v>
      </c>
      <c r="X13" s="247">
        <v>0</v>
      </c>
    </row>
    <row r="14" spans="2:24" ht="29.25" customHeight="1">
      <c r="B14" s="91"/>
      <c r="C14" s="92"/>
      <c r="D14" s="93"/>
      <c r="E14" s="96"/>
      <c r="F14" s="97" t="s">
        <v>17</v>
      </c>
      <c r="G14" s="99" t="s">
        <v>166</v>
      </c>
      <c r="H14" s="322">
        <v>139805000</v>
      </c>
      <c r="I14" s="322">
        <v>11568909</v>
      </c>
      <c r="J14" s="322">
        <v>12033793</v>
      </c>
      <c r="K14" s="322">
        <v>11750801</v>
      </c>
      <c r="L14" s="322">
        <v>11562406</v>
      </c>
      <c r="M14" s="322">
        <v>11557487</v>
      </c>
      <c r="N14" s="322">
        <v>11687878</v>
      </c>
      <c r="O14" s="322">
        <v>11452974</v>
      </c>
      <c r="P14" s="322">
        <v>11823039</v>
      </c>
      <c r="Q14" s="322">
        <v>11849322</v>
      </c>
      <c r="R14" s="322">
        <v>0</v>
      </c>
      <c r="S14" s="322">
        <v>0</v>
      </c>
      <c r="T14" s="322">
        <v>0</v>
      </c>
      <c r="U14" s="322">
        <f t="shared" si="5"/>
        <v>105286609</v>
      </c>
      <c r="V14" s="248">
        <f t="shared" si="1"/>
        <v>34518391</v>
      </c>
      <c r="W14" s="35">
        <v>0</v>
      </c>
      <c r="X14" s="247">
        <f>SUM(U14/H14)*100</f>
        <v>75.30961625120703</v>
      </c>
    </row>
    <row r="15" spans="2:24" ht="12.75">
      <c r="B15" s="91"/>
      <c r="C15" s="92"/>
      <c r="D15" s="93"/>
      <c r="E15" s="96"/>
      <c r="F15" s="97" t="s">
        <v>22</v>
      </c>
      <c r="G15" s="98" t="s">
        <v>167</v>
      </c>
      <c r="H15" s="322">
        <v>1721000</v>
      </c>
      <c r="I15" s="322">
        <v>86383</v>
      </c>
      <c r="J15" s="322">
        <v>86383</v>
      </c>
      <c r="K15" s="322">
        <v>86383</v>
      </c>
      <c r="L15" s="322">
        <v>86383</v>
      </c>
      <c r="M15" s="322">
        <v>164128</v>
      </c>
      <c r="N15" s="322">
        <v>172766</v>
      </c>
      <c r="O15" s="322">
        <v>172766</v>
      </c>
      <c r="P15" s="322">
        <v>172766</v>
      </c>
      <c r="Q15" s="322">
        <v>172766</v>
      </c>
      <c r="R15" s="322">
        <v>0</v>
      </c>
      <c r="S15" s="322">
        <v>0</v>
      </c>
      <c r="T15" s="322">
        <v>0</v>
      </c>
      <c r="U15" s="322">
        <f t="shared" si="5"/>
        <v>1200724</v>
      </c>
      <c r="V15" s="248">
        <f t="shared" si="1"/>
        <v>520276</v>
      </c>
      <c r="W15" s="35"/>
      <c r="X15" s="247">
        <f>SUM(U15/H15)*100</f>
        <v>69.76897152818128</v>
      </c>
    </row>
    <row r="16" spans="2:24" ht="12.75" hidden="1">
      <c r="B16" s="91"/>
      <c r="C16" s="92"/>
      <c r="D16" s="93"/>
      <c r="E16" s="96" t="s">
        <v>22</v>
      </c>
      <c r="F16" s="97"/>
      <c r="G16" s="98" t="s">
        <v>168</v>
      </c>
      <c r="H16" s="225">
        <f aca="true" t="shared" si="6" ref="H16:W16">SUM(H17)</f>
        <v>0</v>
      </c>
      <c r="I16" s="225">
        <f t="shared" si="6"/>
        <v>0</v>
      </c>
      <c r="J16" s="225">
        <f t="shared" si="6"/>
        <v>0</v>
      </c>
      <c r="K16" s="225">
        <f t="shared" si="6"/>
        <v>0</v>
      </c>
      <c r="L16" s="225">
        <f t="shared" si="6"/>
        <v>0</v>
      </c>
      <c r="M16" s="225">
        <f t="shared" si="6"/>
        <v>0</v>
      </c>
      <c r="N16" s="225">
        <f t="shared" si="6"/>
        <v>0</v>
      </c>
      <c r="O16" s="225">
        <f t="shared" si="6"/>
        <v>0</v>
      </c>
      <c r="P16" s="225">
        <f t="shared" si="6"/>
        <v>0</v>
      </c>
      <c r="Q16" s="225">
        <f t="shared" si="6"/>
        <v>0</v>
      </c>
      <c r="R16" s="225">
        <f t="shared" si="6"/>
        <v>0</v>
      </c>
      <c r="S16" s="225">
        <f t="shared" si="6"/>
        <v>0</v>
      </c>
      <c r="T16" s="225">
        <f t="shared" si="6"/>
        <v>0</v>
      </c>
      <c r="U16" s="225">
        <f t="shared" si="6"/>
        <v>0</v>
      </c>
      <c r="V16" s="246">
        <f t="shared" si="1"/>
        <v>0</v>
      </c>
      <c r="W16" s="37">
        <f t="shared" si="6"/>
        <v>0</v>
      </c>
      <c r="X16" s="247">
        <v>0</v>
      </c>
    </row>
    <row r="17" spans="2:24" ht="12.75" hidden="1">
      <c r="B17" s="91"/>
      <c r="C17" s="92"/>
      <c r="D17" s="93"/>
      <c r="E17" s="96"/>
      <c r="F17" s="97" t="s">
        <v>14</v>
      </c>
      <c r="G17" s="98" t="s">
        <v>169</v>
      </c>
      <c r="H17" s="322">
        <v>0</v>
      </c>
      <c r="I17" s="322">
        <v>0</v>
      </c>
      <c r="J17" s="322">
        <v>0</v>
      </c>
      <c r="K17" s="322">
        <v>0</v>
      </c>
      <c r="L17" s="322">
        <v>0</v>
      </c>
      <c r="M17" s="322">
        <v>0</v>
      </c>
      <c r="N17" s="322">
        <v>0</v>
      </c>
      <c r="O17" s="322">
        <v>0</v>
      </c>
      <c r="P17" s="322">
        <v>0</v>
      </c>
      <c r="Q17" s="322">
        <v>0</v>
      </c>
      <c r="R17" s="322">
        <v>0</v>
      </c>
      <c r="S17" s="322">
        <v>0</v>
      </c>
      <c r="T17" s="322">
        <v>0</v>
      </c>
      <c r="U17" s="322">
        <f t="shared" si="5"/>
        <v>0</v>
      </c>
      <c r="V17" s="248">
        <f t="shared" si="1"/>
        <v>0</v>
      </c>
      <c r="W17" s="35"/>
      <c r="X17" s="247">
        <v>0</v>
      </c>
    </row>
    <row r="18" spans="2:24" ht="12.75" hidden="1">
      <c r="B18" s="91"/>
      <c r="C18" s="92"/>
      <c r="D18" s="93"/>
      <c r="E18" s="96" t="s">
        <v>28</v>
      </c>
      <c r="F18" s="97"/>
      <c r="G18" s="98" t="s">
        <v>170</v>
      </c>
      <c r="H18" s="225">
        <f>SUM(H19:H22)</f>
        <v>0</v>
      </c>
      <c r="I18" s="225">
        <f>SUM(I19:I22)</f>
        <v>0</v>
      </c>
      <c r="J18" s="225">
        <f aca="true" t="shared" si="7" ref="J18:S18">SUM(J19:J22)</f>
        <v>0</v>
      </c>
      <c r="K18" s="225">
        <f t="shared" si="7"/>
        <v>0</v>
      </c>
      <c r="L18" s="225">
        <f t="shared" si="7"/>
        <v>0</v>
      </c>
      <c r="M18" s="225">
        <f t="shared" si="7"/>
        <v>0</v>
      </c>
      <c r="N18" s="225">
        <f>SUM(N19:N22)</f>
        <v>0</v>
      </c>
      <c r="O18" s="225">
        <f t="shared" si="7"/>
        <v>0</v>
      </c>
      <c r="P18" s="225">
        <f t="shared" si="7"/>
        <v>0</v>
      </c>
      <c r="Q18" s="225">
        <f t="shared" si="7"/>
        <v>0</v>
      </c>
      <c r="R18" s="225">
        <f t="shared" si="7"/>
        <v>0</v>
      </c>
      <c r="S18" s="225">
        <f t="shared" si="7"/>
        <v>0</v>
      </c>
      <c r="T18" s="225">
        <f>SUM(T19:T22)</f>
        <v>0</v>
      </c>
      <c r="U18" s="225">
        <f>SUM(U19:U22)</f>
        <v>0</v>
      </c>
      <c r="V18" s="246">
        <f t="shared" si="1"/>
        <v>0</v>
      </c>
      <c r="W18" s="37">
        <f>SUM(W19:W22)</f>
        <v>0</v>
      </c>
      <c r="X18" s="247">
        <v>0</v>
      </c>
    </row>
    <row r="19" spans="2:24" ht="12.75" hidden="1">
      <c r="B19" s="91"/>
      <c r="C19" s="92"/>
      <c r="D19" s="93"/>
      <c r="E19" s="96"/>
      <c r="F19" s="97" t="s">
        <v>14</v>
      </c>
      <c r="G19" s="98" t="s">
        <v>171</v>
      </c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>
        <f t="shared" si="5"/>
        <v>0</v>
      </c>
      <c r="V19" s="248">
        <f t="shared" si="1"/>
        <v>0</v>
      </c>
      <c r="W19" s="35"/>
      <c r="X19" s="249" t="e">
        <f aca="true" t="shared" si="8" ref="X19:X24">SUM(U19/H19)*100</f>
        <v>#DIV/0!</v>
      </c>
    </row>
    <row r="20" spans="2:24" ht="12.75" hidden="1">
      <c r="B20" s="91"/>
      <c r="C20" s="92"/>
      <c r="D20" s="93"/>
      <c r="E20" s="96"/>
      <c r="F20" s="97" t="s">
        <v>17</v>
      </c>
      <c r="G20" s="98" t="s">
        <v>172</v>
      </c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>
        <f t="shared" si="5"/>
        <v>0</v>
      </c>
      <c r="V20" s="248">
        <f t="shared" si="1"/>
        <v>0</v>
      </c>
      <c r="W20" s="35"/>
      <c r="X20" s="249" t="e">
        <f t="shared" si="8"/>
        <v>#DIV/0!</v>
      </c>
    </row>
    <row r="21" spans="2:24" ht="12.75" hidden="1">
      <c r="B21" s="91"/>
      <c r="C21" s="92"/>
      <c r="D21" s="93"/>
      <c r="E21" s="96"/>
      <c r="F21" s="97" t="s">
        <v>22</v>
      </c>
      <c r="G21" s="98" t="s">
        <v>173</v>
      </c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>
        <f t="shared" si="5"/>
        <v>0</v>
      </c>
      <c r="V21" s="248">
        <f t="shared" si="1"/>
        <v>0</v>
      </c>
      <c r="W21" s="35"/>
      <c r="X21" s="249" t="e">
        <f t="shared" si="8"/>
        <v>#DIV/0!</v>
      </c>
    </row>
    <row r="22" spans="2:24" ht="12.75" hidden="1">
      <c r="B22" s="91"/>
      <c r="C22" s="92"/>
      <c r="D22" s="93"/>
      <c r="E22" s="96"/>
      <c r="F22" s="97" t="s">
        <v>28</v>
      </c>
      <c r="G22" s="98" t="s">
        <v>174</v>
      </c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>
        <f t="shared" si="5"/>
        <v>0</v>
      </c>
      <c r="V22" s="248">
        <f t="shared" si="1"/>
        <v>0</v>
      </c>
      <c r="W22" s="35"/>
      <c r="X22" s="249" t="e">
        <f t="shared" si="8"/>
        <v>#DIV/0!</v>
      </c>
    </row>
    <row r="23" spans="2:24" ht="12.75">
      <c r="B23" s="91"/>
      <c r="C23" s="92"/>
      <c r="D23" s="93"/>
      <c r="E23" s="96" t="s">
        <v>61</v>
      </c>
      <c r="F23" s="97"/>
      <c r="G23" s="98" t="s">
        <v>175</v>
      </c>
      <c r="H23" s="225">
        <f>SUM(H24:H26)</f>
        <v>1072512000</v>
      </c>
      <c r="I23" s="225">
        <f>SUM(I24:I26)</f>
        <v>90479069</v>
      </c>
      <c r="J23" s="225">
        <f aca="true" t="shared" si="9" ref="J23:S23">SUM(J24:J26)</f>
        <v>90481304</v>
      </c>
      <c r="K23" s="225">
        <f t="shared" si="9"/>
        <v>90336654</v>
      </c>
      <c r="L23" s="225">
        <f t="shared" si="9"/>
        <v>88011452</v>
      </c>
      <c r="M23" s="225">
        <f t="shared" si="9"/>
        <v>88936992</v>
      </c>
      <c r="N23" s="225">
        <f>SUM(N24:N26)</f>
        <v>88943214</v>
      </c>
      <c r="O23" s="225">
        <f t="shared" si="9"/>
        <v>87126957</v>
      </c>
      <c r="P23" s="225">
        <f t="shared" si="9"/>
        <v>89911054</v>
      </c>
      <c r="Q23" s="225">
        <f t="shared" si="9"/>
        <v>89853979</v>
      </c>
      <c r="R23" s="225">
        <f t="shared" si="9"/>
        <v>0</v>
      </c>
      <c r="S23" s="225">
        <f t="shared" si="9"/>
        <v>0</v>
      </c>
      <c r="T23" s="225">
        <f>SUM(T24:T26)</f>
        <v>0</v>
      </c>
      <c r="U23" s="225">
        <f>SUM(U24:U26)</f>
        <v>804080675</v>
      </c>
      <c r="V23" s="246">
        <f t="shared" si="1"/>
        <v>268431325</v>
      </c>
      <c r="W23" s="37">
        <f>SUM(W24:W26)</f>
        <v>0</v>
      </c>
      <c r="X23" s="247">
        <f t="shared" si="8"/>
        <v>74.97171826515694</v>
      </c>
    </row>
    <row r="24" spans="2:24" ht="12.75">
      <c r="B24" s="91"/>
      <c r="C24" s="92"/>
      <c r="D24" s="93"/>
      <c r="E24" s="96"/>
      <c r="F24" s="97" t="s">
        <v>14</v>
      </c>
      <c r="G24" s="98" t="s">
        <v>176</v>
      </c>
      <c r="H24" s="322">
        <v>1069040000</v>
      </c>
      <c r="I24" s="322">
        <v>90331581</v>
      </c>
      <c r="J24" s="322">
        <v>90333816</v>
      </c>
      <c r="K24" s="322">
        <v>90189166</v>
      </c>
      <c r="L24" s="322">
        <v>87863964</v>
      </c>
      <c r="M24" s="322">
        <v>88656765</v>
      </c>
      <c r="N24" s="322">
        <v>88648238</v>
      </c>
      <c r="O24" s="322">
        <v>86831981</v>
      </c>
      <c r="P24" s="322">
        <v>89616078</v>
      </c>
      <c r="Q24" s="322">
        <v>89559003</v>
      </c>
      <c r="R24" s="322">
        <v>0</v>
      </c>
      <c r="S24" s="322">
        <v>0</v>
      </c>
      <c r="T24" s="322">
        <v>0</v>
      </c>
      <c r="U24" s="322">
        <f t="shared" si="5"/>
        <v>802030592</v>
      </c>
      <c r="V24" s="248">
        <f t="shared" si="1"/>
        <v>267009408</v>
      </c>
      <c r="W24" s="35">
        <v>0</v>
      </c>
      <c r="X24" s="247">
        <f t="shared" si="8"/>
        <v>75.02344084412182</v>
      </c>
    </row>
    <row r="25" spans="2:24" ht="12.75" hidden="1">
      <c r="B25" s="91"/>
      <c r="C25" s="92"/>
      <c r="D25" s="93"/>
      <c r="E25" s="96"/>
      <c r="F25" s="97" t="s">
        <v>17</v>
      </c>
      <c r="G25" s="98" t="s">
        <v>177</v>
      </c>
      <c r="H25" s="322">
        <v>0</v>
      </c>
      <c r="I25" s="322">
        <v>0</v>
      </c>
      <c r="J25" s="322">
        <v>0</v>
      </c>
      <c r="K25" s="322">
        <v>0</v>
      </c>
      <c r="L25" s="322">
        <v>0</v>
      </c>
      <c r="M25" s="322">
        <v>0</v>
      </c>
      <c r="N25" s="322">
        <v>0</v>
      </c>
      <c r="O25" s="322">
        <v>0</v>
      </c>
      <c r="P25" s="322">
        <v>0</v>
      </c>
      <c r="Q25" s="322">
        <v>0</v>
      </c>
      <c r="R25" s="322">
        <v>0</v>
      </c>
      <c r="S25" s="322">
        <v>0</v>
      </c>
      <c r="T25" s="322">
        <v>0</v>
      </c>
      <c r="U25" s="322">
        <f t="shared" si="5"/>
        <v>0</v>
      </c>
      <c r="V25" s="248">
        <f t="shared" si="1"/>
        <v>0</v>
      </c>
      <c r="W25" s="35"/>
      <c r="X25" s="247">
        <v>0</v>
      </c>
    </row>
    <row r="26" spans="2:24" ht="12.75">
      <c r="B26" s="91"/>
      <c r="C26" s="92"/>
      <c r="D26" s="93"/>
      <c r="E26" s="96"/>
      <c r="F26" s="97" t="s">
        <v>22</v>
      </c>
      <c r="G26" s="98" t="s">
        <v>178</v>
      </c>
      <c r="H26" s="322">
        <v>3472000</v>
      </c>
      <c r="I26" s="322">
        <v>147488</v>
      </c>
      <c r="J26" s="322">
        <v>147488</v>
      </c>
      <c r="K26" s="322">
        <v>147488</v>
      </c>
      <c r="L26" s="322">
        <v>147488</v>
      </c>
      <c r="M26" s="322">
        <v>280227</v>
      </c>
      <c r="N26" s="322">
        <v>294976</v>
      </c>
      <c r="O26" s="322">
        <v>294976</v>
      </c>
      <c r="P26" s="322">
        <v>294976</v>
      </c>
      <c r="Q26" s="322">
        <v>294976</v>
      </c>
      <c r="R26" s="322">
        <v>0</v>
      </c>
      <c r="S26" s="322">
        <v>0</v>
      </c>
      <c r="T26" s="322">
        <v>0</v>
      </c>
      <c r="U26" s="322">
        <f t="shared" si="5"/>
        <v>2050083</v>
      </c>
      <c r="V26" s="248">
        <f t="shared" si="1"/>
        <v>1421917</v>
      </c>
      <c r="W26" s="35"/>
      <c r="X26" s="247">
        <f>SUM(U26/H26)*100</f>
        <v>59.04616935483871</v>
      </c>
    </row>
    <row r="27" spans="2:24" ht="12.75" hidden="1">
      <c r="B27" s="91"/>
      <c r="C27" s="92"/>
      <c r="D27" s="93"/>
      <c r="E27" s="96" t="s">
        <v>65</v>
      </c>
      <c r="F27" s="97"/>
      <c r="G27" s="98" t="s">
        <v>179</v>
      </c>
      <c r="H27" s="225">
        <f>SUM(H28:H29)</f>
        <v>0</v>
      </c>
      <c r="I27" s="225">
        <f>SUM(I28:I29)</f>
        <v>0</v>
      </c>
      <c r="J27" s="225">
        <f aca="true" t="shared" si="10" ref="J27:S27">SUM(J28:J29)</f>
        <v>0</v>
      </c>
      <c r="K27" s="225">
        <f t="shared" si="10"/>
        <v>0</v>
      </c>
      <c r="L27" s="225">
        <f t="shared" si="10"/>
        <v>0</v>
      </c>
      <c r="M27" s="225">
        <f t="shared" si="10"/>
        <v>0</v>
      </c>
      <c r="N27" s="225">
        <f>SUM(N28:N29)</f>
        <v>0</v>
      </c>
      <c r="O27" s="225">
        <f t="shared" si="10"/>
        <v>0</v>
      </c>
      <c r="P27" s="225">
        <f t="shared" si="10"/>
        <v>0</v>
      </c>
      <c r="Q27" s="225">
        <f t="shared" si="10"/>
        <v>0</v>
      </c>
      <c r="R27" s="225">
        <f t="shared" si="10"/>
        <v>0</v>
      </c>
      <c r="S27" s="225">
        <f t="shared" si="10"/>
        <v>0</v>
      </c>
      <c r="T27" s="225">
        <f>SUM(T28:T29)</f>
        <v>0</v>
      </c>
      <c r="U27" s="225">
        <f>SUM(U28:U29)</f>
        <v>0</v>
      </c>
      <c r="V27" s="246">
        <f t="shared" si="1"/>
        <v>0</v>
      </c>
      <c r="W27" s="37">
        <f>SUM(W28:W29)</f>
        <v>0</v>
      </c>
      <c r="X27" s="247">
        <v>0</v>
      </c>
    </row>
    <row r="28" spans="2:24" ht="12.75" hidden="1">
      <c r="B28" s="91"/>
      <c r="C28" s="92"/>
      <c r="D28" s="93"/>
      <c r="E28" s="96"/>
      <c r="F28" s="97" t="s">
        <v>14</v>
      </c>
      <c r="G28" s="98" t="s">
        <v>180</v>
      </c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>
        <f t="shared" si="5"/>
        <v>0</v>
      </c>
      <c r="V28" s="248">
        <f t="shared" si="1"/>
        <v>0</v>
      </c>
      <c r="W28" s="35"/>
      <c r="X28" s="249" t="e">
        <f aca="true" t="shared" si="11" ref="X28:X40">SUM(U28/H28)*100</f>
        <v>#DIV/0!</v>
      </c>
    </row>
    <row r="29" spans="2:24" ht="12.75" hidden="1">
      <c r="B29" s="100"/>
      <c r="C29" s="101"/>
      <c r="D29" s="102"/>
      <c r="E29" s="103"/>
      <c r="F29" s="104" t="s">
        <v>17</v>
      </c>
      <c r="G29" s="105" t="s">
        <v>181</v>
      </c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>
        <f t="shared" si="5"/>
        <v>0</v>
      </c>
      <c r="V29" s="248">
        <f t="shared" si="1"/>
        <v>0</v>
      </c>
      <c r="W29" s="35"/>
      <c r="X29" s="249" t="e">
        <f t="shared" si="11"/>
        <v>#DIV/0!</v>
      </c>
    </row>
    <row r="30" spans="2:24" ht="12.75">
      <c r="B30" s="91"/>
      <c r="C30" s="92"/>
      <c r="D30" s="93"/>
      <c r="E30" s="106" t="s">
        <v>182</v>
      </c>
      <c r="F30" s="97"/>
      <c r="G30" s="98" t="s">
        <v>183</v>
      </c>
      <c r="H30" s="225">
        <f>SUM(H31:H38)</f>
        <v>105204000</v>
      </c>
      <c r="I30" s="225">
        <f>SUM(I31:I38)</f>
        <v>9725310</v>
      </c>
      <c r="J30" s="225">
        <f aca="true" t="shared" si="12" ref="J30:S30">SUM(J31:J38)</f>
        <v>9731234</v>
      </c>
      <c r="K30" s="225">
        <f t="shared" si="12"/>
        <v>9718861</v>
      </c>
      <c r="L30" s="225">
        <f t="shared" si="12"/>
        <v>9589743</v>
      </c>
      <c r="M30" s="225">
        <f t="shared" si="12"/>
        <v>9652007</v>
      </c>
      <c r="N30" s="225">
        <f>SUM(N31:N38)</f>
        <v>9608088</v>
      </c>
      <c r="O30" s="225">
        <f t="shared" si="12"/>
        <v>9564357</v>
      </c>
      <c r="P30" s="225">
        <f t="shared" si="12"/>
        <v>10223306</v>
      </c>
      <c r="Q30" s="225">
        <f t="shared" si="12"/>
        <v>9968067</v>
      </c>
      <c r="R30" s="225">
        <f t="shared" si="12"/>
        <v>0</v>
      </c>
      <c r="S30" s="225">
        <f t="shared" si="12"/>
        <v>0</v>
      </c>
      <c r="T30" s="225">
        <f>SUM(T31:T38)</f>
        <v>0</v>
      </c>
      <c r="U30" s="225">
        <f>SUM(U31:U38)</f>
        <v>87780973</v>
      </c>
      <c r="V30" s="246">
        <f t="shared" si="1"/>
        <v>17423027</v>
      </c>
      <c r="W30" s="37">
        <f>SUM(W31:W38)</f>
        <v>0</v>
      </c>
      <c r="X30" s="247">
        <f t="shared" si="11"/>
        <v>83.43881696513441</v>
      </c>
    </row>
    <row r="31" spans="2:24" ht="12.75" hidden="1">
      <c r="B31" s="91"/>
      <c r="C31" s="92"/>
      <c r="D31" s="93"/>
      <c r="E31" s="96"/>
      <c r="F31" s="97" t="s">
        <v>14</v>
      </c>
      <c r="G31" s="107" t="s">
        <v>184</v>
      </c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>
        <f t="shared" si="5"/>
        <v>0</v>
      </c>
      <c r="V31" s="248">
        <f t="shared" si="1"/>
        <v>0</v>
      </c>
      <c r="W31" s="35"/>
      <c r="X31" s="249" t="e">
        <f t="shared" si="11"/>
        <v>#DIV/0!</v>
      </c>
    </row>
    <row r="32" spans="2:24" ht="12.75" hidden="1">
      <c r="B32" s="91"/>
      <c r="C32" s="92"/>
      <c r="D32" s="93"/>
      <c r="E32" s="96"/>
      <c r="F32" s="97" t="s">
        <v>17</v>
      </c>
      <c r="G32" s="107" t="s">
        <v>185</v>
      </c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>
        <f t="shared" si="5"/>
        <v>0</v>
      </c>
      <c r="V32" s="248">
        <f t="shared" si="1"/>
        <v>0</v>
      </c>
      <c r="W32" s="35"/>
      <c r="X32" s="249" t="e">
        <f t="shared" si="11"/>
        <v>#DIV/0!</v>
      </c>
    </row>
    <row r="33" spans="2:24" ht="12.75" hidden="1">
      <c r="B33" s="100"/>
      <c r="C33" s="101"/>
      <c r="D33" s="102"/>
      <c r="E33" s="103"/>
      <c r="F33" s="104" t="s">
        <v>22</v>
      </c>
      <c r="G33" s="107" t="s">
        <v>186</v>
      </c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>
        <f t="shared" si="5"/>
        <v>0</v>
      </c>
      <c r="V33" s="248">
        <f t="shared" si="1"/>
        <v>0</v>
      </c>
      <c r="W33" s="35"/>
      <c r="X33" s="249" t="e">
        <f t="shared" si="11"/>
        <v>#DIV/0!</v>
      </c>
    </row>
    <row r="34" spans="2:24" ht="36" hidden="1">
      <c r="B34" s="91"/>
      <c r="C34" s="92"/>
      <c r="D34" s="93"/>
      <c r="E34" s="96"/>
      <c r="F34" s="97" t="s">
        <v>28</v>
      </c>
      <c r="G34" s="108" t="s">
        <v>187</v>
      </c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>
        <f t="shared" si="5"/>
        <v>0</v>
      </c>
      <c r="V34" s="248">
        <f t="shared" si="1"/>
        <v>0</v>
      </c>
      <c r="W34" s="35"/>
      <c r="X34" s="249" t="e">
        <f t="shared" si="11"/>
        <v>#DIV/0!</v>
      </c>
    </row>
    <row r="35" spans="2:24" ht="12.75">
      <c r="B35" s="91"/>
      <c r="C35" s="92"/>
      <c r="D35" s="93"/>
      <c r="E35" s="96"/>
      <c r="F35" s="97" t="s">
        <v>54</v>
      </c>
      <c r="G35" s="107" t="s">
        <v>188</v>
      </c>
      <c r="H35" s="322">
        <v>105204000</v>
      </c>
      <c r="I35" s="322">
        <v>9725310</v>
      </c>
      <c r="J35" s="322">
        <v>9731234</v>
      </c>
      <c r="K35" s="322">
        <v>9718861</v>
      </c>
      <c r="L35" s="322">
        <v>9589743</v>
      </c>
      <c r="M35" s="322">
        <v>9652007</v>
      </c>
      <c r="N35" s="322">
        <v>9608088</v>
      </c>
      <c r="O35" s="322">
        <v>9564357</v>
      </c>
      <c r="P35" s="322">
        <v>9973306</v>
      </c>
      <c r="Q35" s="322">
        <v>9968067</v>
      </c>
      <c r="R35" s="322">
        <v>0</v>
      </c>
      <c r="S35" s="322">
        <v>0</v>
      </c>
      <c r="T35" s="322">
        <v>0</v>
      </c>
      <c r="U35" s="322">
        <f t="shared" si="5"/>
        <v>87530973</v>
      </c>
      <c r="V35" s="248">
        <f t="shared" si="1"/>
        <v>17673027</v>
      </c>
      <c r="W35" s="35">
        <v>0</v>
      </c>
      <c r="X35" s="247">
        <f t="shared" si="11"/>
        <v>83.20118341507927</v>
      </c>
    </row>
    <row r="36" spans="2:24" ht="12.75" hidden="1">
      <c r="B36" s="91"/>
      <c r="C36" s="92"/>
      <c r="D36" s="93"/>
      <c r="E36" s="96"/>
      <c r="F36" s="97" t="s">
        <v>57</v>
      </c>
      <c r="G36" s="107" t="s">
        <v>189</v>
      </c>
      <c r="H36" s="322">
        <v>0</v>
      </c>
      <c r="I36" s="322">
        <v>0</v>
      </c>
      <c r="J36" s="322">
        <v>0</v>
      </c>
      <c r="K36" s="322">
        <v>0</v>
      </c>
      <c r="L36" s="322">
        <v>0</v>
      </c>
      <c r="M36" s="322">
        <v>0</v>
      </c>
      <c r="N36" s="322">
        <v>0</v>
      </c>
      <c r="O36" s="322">
        <v>0</v>
      </c>
      <c r="P36" s="322">
        <v>0</v>
      </c>
      <c r="Q36" s="322">
        <v>0</v>
      </c>
      <c r="R36" s="322">
        <v>0</v>
      </c>
      <c r="S36" s="322">
        <v>0</v>
      </c>
      <c r="T36" s="322">
        <v>0</v>
      </c>
      <c r="U36" s="322">
        <f t="shared" si="5"/>
        <v>0</v>
      </c>
      <c r="V36" s="248">
        <f t="shared" si="1"/>
        <v>0</v>
      </c>
      <c r="W36" s="35"/>
      <c r="X36" s="249" t="e">
        <f t="shared" si="11"/>
        <v>#DIV/0!</v>
      </c>
    </row>
    <row r="37" spans="2:24" ht="12.75" hidden="1">
      <c r="B37" s="91"/>
      <c r="C37" s="92"/>
      <c r="D37" s="93"/>
      <c r="E37" s="96"/>
      <c r="F37" s="97" t="s">
        <v>61</v>
      </c>
      <c r="G37" s="107" t="s">
        <v>190</v>
      </c>
      <c r="H37" s="322">
        <v>0</v>
      </c>
      <c r="I37" s="322">
        <v>0</v>
      </c>
      <c r="J37" s="322">
        <v>0</v>
      </c>
      <c r="K37" s="322">
        <v>0</v>
      </c>
      <c r="L37" s="322">
        <v>0</v>
      </c>
      <c r="M37" s="322">
        <v>0</v>
      </c>
      <c r="N37" s="322">
        <v>0</v>
      </c>
      <c r="O37" s="322">
        <v>0</v>
      </c>
      <c r="P37" s="322">
        <v>0</v>
      </c>
      <c r="Q37" s="322">
        <v>0</v>
      </c>
      <c r="R37" s="322">
        <v>0</v>
      </c>
      <c r="S37" s="322">
        <v>0</v>
      </c>
      <c r="T37" s="322">
        <v>0</v>
      </c>
      <c r="U37" s="322">
        <f t="shared" si="5"/>
        <v>0</v>
      </c>
      <c r="V37" s="248">
        <f t="shared" si="1"/>
        <v>0</v>
      </c>
      <c r="W37" s="35"/>
      <c r="X37" s="249" t="e">
        <f t="shared" si="11"/>
        <v>#DIV/0!</v>
      </c>
    </row>
    <row r="38" spans="2:24" ht="12.75">
      <c r="B38" s="91"/>
      <c r="C38" s="92"/>
      <c r="D38" s="93"/>
      <c r="E38" s="96"/>
      <c r="F38" s="97" t="s">
        <v>30</v>
      </c>
      <c r="G38" s="107" t="s">
        <v>191</v>
      </c>
      <c r="H38" s="322">
        <v>0</v>
      </c>
      <c r="I38" s="322">
        <v>0</v>
      </c>
      <c r="J38" s="322">
        <v>0</v>
      </c>
      <c r="K38" s="322">
        <v>0</v>
      </c>
      <c r="L38" s="322">
        <v>0</v>
      </c>
      <c r="M38" s="322">
        <v>0</v>
      </c>
      <c r="N38" s="322">
        <v>0</v>
      </c>
      <c r="O38" s="322">
        <v>0</v>
      </c>
      <c r="P38" s="322">
        <v>250000</v>
      </c>
      <c r="Q38" s="322">
        <v>0</v>
      </c>
      <c r="R38" s="322">
        <v>0</v>
      </c>
      <c r="S38" s="322">
        <v>0</v>
      </c>
      <c r="T38" s="322">
        <v>0</v>
      </c>
      <c r="U38" s="322">
        <f t="shared" si="5"/>
        <v>250000</v>
      </c>
      <c r="V38" s="248">
        <f t="shared" si="1"/>
        <v>-250000</v>
      </c>
      <c r="W38" s="35"/>
      <c r="X38" s="247" t="e">
        <f t="shared" si="11"/>
        <v>#DIV/0!</v>
      </c>
    </row>
    <row r="39" spans="2:24" ht="12.75">
      <c r="B39" s="91"/>
      <c r="C39" s="92"/>
      <c r="D39" s="93"/>
      <c r="E39" s="106" t="s">
        <v>192</v>
      </c>
      <c r="F39" s="97"/>
      <c r="G39" s="98" t="s">
        <v>193</v>
      </c>
      <c r="H39" s="225">
        <f aca="true" t="shared" si="13" ref="H39:W39">SUM(H40)</f>
        <v>0</v>
      </c>
      <c r="I39" s="225">
        <f t="shared" si="13"/>
        <v>0</v>
      </c>
      <c r="J39" s="225">
        <f t="shared" si="13"/>
        <v>0</v>
      </c>
      <c r="K39" s="225">
        <f t="shared" si="13"/>
        <v>0</v>
      </c>
      <c r="L39" s="225">
        <f t="shared" si="13"/>
        <v>0</v>
      </c>
      <c r="M39" s="225">
        <f t="shared" si="13"/>
        <v>0</v>
      </c>
      <c r="N39" s="225">
        <f t="shared" si="13"/>
        <v>0</v>
      </c>
      <c r="O39" s="225">
        <f t="shared" si="13"/>
        <v>0</v>
      </c>
      <c r="P39" s="225">
        <f t="shared" si="13"/>
        <v>0</v>
      </c>
      <c r="Q39" s="225">
        <f t="shared" si="13"/>
        <v>0</v>
      </c>
      <c r="R39" s="225">
        <f t="shared" si="13"/>
        <v>0</v>
      </c>
      <c r="S39" s="225">
        <f t="shared" si="13"/>
        <v>0</v>
      </c>
      <c r="T39" s="225">
        <f t="shared" si="13"/>
        <v>0</v>
      </c>
      <c r="U39" s="225">
        <f t="shared" si="13"/>
        <v>0</v>
      </c>
      <c r="V39" s="246">
        <f t="shared" si="1"/>
        <v>0</v>
      </c>
      <c r="W39" s="37">
        <f t="shared" si="13"/>
        <v>0</v>
      </c>
      <c r="X39" s="247" t="e">
        <f t="shared" si="11"/>
        <v>#DIV/0!</v>
      </c>
    </row>
    <row r="40" spans="2:24" ht="12.75">
      <c r="B40" s="91"/>
      <c r="C40" s="92"/>
      <c r="D40" s="93"/>
      <c r="E40" s="106"/>
      <c r="F40" s="97" t="s">
        <v>14</v>
      </c>
      <c r="G40" s="98" t="s">
        <v>525</v>
      </c>
      <c r="H40" s="322">
        <v>0</v>
      </c>
      <c r="I40" s="322">
        <v>0</v>
      </c>
      <c r="J40" s="322">
        <v>0</v>
      </c>
      <c r="K40" s="322">
        <v>0</v>
      </c>
      <c r="L40" s="322">
        <v>0</v>
      </c>
      <c r="M40" s="322">
        <v>0</v>
      </c>
      <c r="N40" s="322">
        <v>0</v>
      </c>
      <c r="O40" s="322">
        <v>0</v>
      </c>
      <c r="P40" s="322">
        <v>0</v>
      </c>
      <c r="Q40" s="322">
        <v>0</v>
      </c>
      <c r="R40" s="322">
        <v>0</v>
      </c>
      <c r="S40" s="322">
        <v>0</v>
      </c>
      <c r="T40" s="322">
        <v>0</v>
      </c>
      <c r="U40" s="322">
        <f t="shared" si="5"/>
        <v>0</v>
      </c>
      <c r="V40" s="248">
        <f aca="true" t="shared" si="14" ref="V40:V71">H40-U40</f>
        <v>0</v>
      </c>
      <c r="W40" s="35"/>
      <c r="X40" s="247" t="e">
        <f t="shared" si="11"/>
        <v>#DIV/0!</v>
      </c>
    </row>
    <row r="41" spans="2:24" ht="12.75" hidden="1">
      <c r="B41" s="91"/>
      <c r="C41" s="92"/>
      <c r="D41" s="93"/>
      <c r="E41" s="106" t="s">
        <v>195</v>
      </c>
      <c r="F41" s="97"/>
      <c r="G41" s="107" t="s">
        <v>196</v>
      </c>
      <c r="H41" s="225">
        <f aca="true" t="shared" si="15" ref="H41:W41">SUM(H42)</f>
        <v>0</v>
      </c>
      <c r="I41" s="225">
        <f t="shared" si="15"/>
        <v>0</v>
      </c>
      <c r="J41" s="225">
        <f t="shared" si="15"/>
        <v>0</v>
      </c>
      <c r="K41" s="225">
        <f t="shared" si="15"/>
        <v>0</v>
      </c>
      <c r="L41" s="225">
        <f t="shared" si="15"/>
        <v>0</v>
      </c>
      <c r="M41" s="225">
        <f t="shared" si="15"/>
        <v>0</v>
      </c>
      <c r="N41" s="225">
        <f t="shared" si="15"/>
        <v>0</v>
      </c>
      <c r="O41" s="225">
        <f t="shared" si="15"/>
        <v>0</v>
      </c>
      <c r="P41" s="225">
        <f t="shared" si="15"/>
        <v>0</v>
      </c>
      <c r="Q41" s="225">
        <f t="shared" si="15"/>
        <v>0</v>
      </c>
      <c r="R41" s="225">
        <f t="shared" si="15"/>
        <v>0</v>
      </c>
      <c r="S41" s="225">
        <f t="shared" si="15"/>
        <v>0</v>
      </c>
      <c r="T41" s="225">
        <f t="shared" si="15"/>
        <v>0</v>
      </c>
      <c r="U41" s="225">
        <f t="shared" si="15"/>
        <v>0</v>
      </c>
      <c r="V41" s="246">
        <f t="shared" si="14"/>
        <v>0</v>
      </c>
      <c r="W41" s="37">
        <f t="shared" si="15"/>
        <v>0</v>
      </c>
      <c r="X41" s="247">
        <v>0</v>
      </c>
    </row>
    <row r="42" spans="2:24" ht="12.75" hidden="1">
      <c r="B42" s="91"/>
      <c r="C42" s="92"/>
      <c r="D42" s="93"/>
      <c r="E42" s="106"/>
      <c r="F42" s="97" t="s">
        <v>14</v>
      </c>
      <c r="G42" s="107" t="s">
        <v>197</v>
      </c>
      <c r="H42" s="322">
        <v>0</v>
      </c>
      <c r="I42" s="322">
        <v>0</v>
      </c>
      <c r="J42" s="322">
        <v>0</v>
      </c>
      <c r="K42" s="322">
        <v>0</v>
      </c>
      <c r="L42" s="322">
        <v>0</v>
      </c>
      <c r="M42" s="322">
        <v>0</v>
      </c>
      <c r="N42" s="322">
        <v>0</v>
      </c>
      <c r="O42" s="322">
        <v>0</v>
      </c>
      <c r="P42" s="322">
        <v>0</v>
      </c>
      <c r="Q42" s="322">
        <v>0</v>
      </c>
      <c r="R42" s="322">
        <v>0</v>
      </c>
      <c r="S42" s="322">
        <v>0</v>
      </c>
      <c r="T42" s="322">
        <v>0</v>
      </c>
      <c r="U42" s="322">
        <f t="shared" si="5"/>
        <v>0</v>
      </c>
      <c r="V42" s="248">
        <f t="shared" si="14"/>
        <v>0</v>
      </c>
      <c r="W42" s="35"/>
      <c r="X42" s="247">
        <v>0</v>
      </c>
    </row>
    <row r="43" spans="2:24" ht="12.75">
      <c r="B43" s="91"/>
      <c r="C43" s="92"/>
      <c r="D43" s="93"/>
      <c r="E43" s="96" t="s">
        <v>198</v>
      </c>
      <c r="F43" s="97"/>
      <c r="G43" s="98" t="s">
        <v>199</v>
      </c>
      <c r="H43" s="225">
        <f>SUM(H44:H51)</f>
        <v>469787000</v>
      </c>
      <c r="I43" s="225">
        <f>SUM(I44:I51)</f>
        <v>38553371</v>
      </c>
      <c r="J43" s="225">
        <f aca="true" t="shared" si="16" ref="J43:S43">SUM(J44:J51)</f>
        <v>38544849</v>
      </c>
      <c r="K43" s="225">
        <f t="shared" si="16"/>
        <v>38477019</v>
      </c>
      <c r="L43" s="225">
        <f t="shared" si="16"/>
        <v>37491915</v>
      </c>
      <c r="M43" s="225">
        <f t="shared" si="16"/>
        <v>37934932</v>
      </c>
      <c r="N43" s="225">
        <f>SUM(N44:N51)</f>
        <v>37911255</v>
      </c>
      <c r="O43" s="225">
        <f t="shared" si="16"/>
        <v>37260504</v>
      </c>
      <c r="P43" s="225">
        <f t="shared" si="16"/>
        <v>38530451</v>
      </c>
      <c r="Q43" s="225">
        <f t="shared" si="16"/>
        <v>38504854</v>
      </c>
      <c r="R43" s="225">
        <f t="shared" si="16"/>
        <v>0</v>
      </c>
      <c r="S43" s="225">
        <f t="shared" si="16"/>
        <v>0</v>
      </c>
      <c r="T43" s="225">
        <f>SUM(T44:T51)</f>
        <v>0</v>
      </c>
      <c r="U43" s="225">
        <f>SUM(U44:U51)</f>
        <v>343209150</v>
      </c>
      <c r="V43" s="246">
        <f t="shared" si="14"/>
        <v>126577850</v>
      </c>
      <c r="W43" s="37">
        <f>SUM(W44:W51)</f>
        <v>0</v>
      </c>
      <c r="X43" s="247">
        <f aca="true" t="shared" si="17" ref="X43:X50">SUM(U43/H43)*100</f>
        <v>73.05633191212188</v>
      </c>
    </row>
    <row r="44" spans="2:24" ht="12.75">
      <c r="B44" s="91"/>
      <c r="C44" s="92"/>
      <c r="D44" s="93"/>
      <c r="E44" s="96"/>
      <c r="F44" s="97" t="s">
        <v>14</v>
      </c>
      <c r="G44" s="107" t="s">
        <v>200</v>
      </c>
      <c r="H44" s="322">
        <v>199757000</v>
      </c>
      <c r="I44" s="322">
        <v>16747863</v>
      </c>
      <c r="J44" s="322">
        <v>16742395</v>
      </c>
      <c r="K44" s="322">
        <v>16709486</v>
      </c>
      <c r="L44" s="322">
        <v>16421735</v>
      </c>
      <c r="M44" s="322">
        <v>16622899</v>
      </c>
      <c r="N44" s="322">
        <v>16588690</v>
      </c>
      <c r="O44" s="322">
        <v>16428666</v>
      </c>
      <c r="P44" s="322">
        <v>16982483</v>
      </c>
      <c r="Q44" s="322">
        <v>16970935</v>
      </c>
      <c r="R44" s="322">
        <v>0</v>
      </c>
      <c r="S44" s="322">
        <v>0</v>
      </c>
      <c r="T44" s="322">
        <v>0</v>
      </c>
      <c r="U44" s="322">
        <f t="shared" si="5"/>
        <v>150215152</v>
      </c>
      <c r="V44" s="248">
        <f t="shared" si="14"/>
        <v>49541848</v>
      </c>
      <c r="W44" s="35">
        <v>0</v>
      </c>
      <c r="X44" s="247">
        <f t="shared" si="17"/>
        <v>75.19894271539921</v>
      </c>
    </row>
    <row r="45" spans="2:24" ht="12.75">
      <c r="B45" s="91"/>
      <c r="C45" s="92"/>
      <c r="D45" s="93"/>
      <c r="E45" s="96"/>
      <c r="F45" s="97" t="s">
        <v>17</v>
      </c>
      <c r="G45" s="107" t="s">
        <v>201</v>
      </c>
      <c r="H45" s="322">
        <v>77831000</v>
      </c>
      <c r="I45" s="322">
        <v>6294776</v>
      </c>
      <c r="J45" s="322">
        <v>6294211</v>
      </c>
      <c r="K45" s="322">
        <v>6284000</v>
      </c>
      <c r="L45" s="322">
        <v>6112320</v>
      </c>
      <c r="M45" s="322">
        <v>6183870</v>
      </c>
      <c r="N45" s="322">
        <v>6186603</v>
      </c>
      <c r="O45" s="322">
        <v>6051450</v>
      </c>
      <c r="P45" s="322">
        <v>6253896</v>
      </c>
      <c r="Q45" s="322">
        <v>6249814</v>
      </c>
      <c r="R45" s="322">
        <v>0</v>
      </c>
      <c r="S45" s="322">
        <v>0</v>
      </c>
      <c r="T45" s="322">
        <v>0</v>
      </c>
      <c r="U45" s="322">
        <f t="shared" si="5"/>
        <v>55910940</v>
      </c>
      <c r="V45" s="248">
        <f t="shared" si="14"/>
        <v>21920060</v>
      </c>
      <c r="W45" s="35">
        <v>0</v>
      </c>
      <c r="X45" s="247">
        <f t="shared" si="17"/>
        <v>71.83633770605543</v>
      </c>
    </row>
    <row r="46" spans="2:24" ht="12.75">
      <c r="B46" s="91"/>
      <c r="C46" s="92"/>
      <c r="D46" s="93"/>
      <c r="E46" s="96"/>
      <c r="F46" s="97" t="s">
        <v>22</v>
      </c>
      <c r="G46" s="107" t="s">
        <v>202</v>
      </c>
      <c r="H46" s="322">
        <v>191149000</v>
      </c>
      <c r="I46" s="322">
        <v>15421980</v>
      </c>
      <c r="J46" s="322">
        <v>15419491</v>
      </c>
      <c r="K46" s="322">
        <v>15394781</v>
      </c>
      <c r="L46" s="322">
        <v>14957860</v>
      </c>
      <c r="M46" s="322">
        <v>15128163</v>
      </c>
      <c r="N46" s="322">
        <v>15135962</v>
      </c>
      <c r="O46" s="322">
        <v>14780388</v>
      </c>
      <c r="P46" s="322">
        <v>15294072</v>
      </c>
      <c r="Q46" s="322">
        <v>15284105</v>
      </c>
      <c r="R46" s="322">
        <v>0</v>
      </c>
      <c r="S46" s="322">
        <v>0</v>
      </c>
      <c r="T46" s="322">
        <v>0</v>
      </c>
      <c r="U46" s="322">
        <f t="shared" si="5"/>
        <v>136816802</v>
      </c>
      <c r="V46" s="248">
        <f t="shared" si="14"/>
        <v>54332198</v>
      </c>
      <c r="W46" s="35">
        <v>0</v>
      </c>
      <c r="X46" s="247">
        <f t="shared" si="17"/>
        <v>71.57599673553092</v>
      </c>
    </row>
    <row r="47" spans="2:24" ht="12.75">
      <c r="B47" s="91"/>
      <c r="C47" s="92"/>
      <c r="D47" s="93"/>
      <c r="E47" s="96"/>
      <c r="F47" s="97" t="s">
        <v>28</v>
      </c>
      <c r="G47" s="107" t="s">
        <v>203</v>
      </c>
      <c r="H47" s="322">
        <v>1050000</v>
      </c>
      <c r="I47" s="322">
        <v>88752</v>
      </c>
      <c r="J47" s="322">
        <v>88752</v>
      </c>
      <c r="K47" s="322">
        <v>88752</v>
      </c>
      <c r="L47" s="322">
        <v>0</v>
      </c>
      <c r="M47" s="322">
        <v>0</v>
      </c>
      <c r="N47" s="322">
        <v>0</v>
      </c>
      <c r="O47" s="322">
        <v>0</v>
      </c>
      <c r="P47" s="322">
        <v>0</v>
      </c>
      <c r="Q47" s="322">
        <v>0</v>
      </c>
      <c r="R47" s="322">
        <v>0</v>
      </c>
      <c r="S47" s="322">
        <v>0</v>
      </c>
      <c r="T47" s="322">
        <v>0</v>
      </c>
      <c r="U47" s="322">
        <f t="shared" si="5"/>
        <v>266256</v>
      </c>
      <c r="V47" s="248">
        <f t="shared" si="14"/>
        <v>783744</v>
      </c>
      <c r="W47" s="35"/>
      <c r="X47" s="247">
        <f t="shared" si="17"/>
        <v>25.357714285714284</v>
      </c>
    </row>
    <row r="48" spans="2:24" ht="12.75" hidden="1">
      <c r="B48" s="91"/>
      <c r="C48" s="92"/>
      <c r="D48" s="93"/>
      <c r="E48" s="96"/>
      <c r="F48" s="97" t="s">
        <v>54</v>
      </c>
      <c r="G48" s="107" t="s">
        <v>204</v>
      </c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>
        <f t="shared" si="5"/>
        <v>0</v>
      </c>
      <c r="V48" s="248">
        <f t="shared" si="14"/>
        <v>0</v>
      </c>
      <c r="W48" s="35"/>
      <c r="X48" s="249" t="e">
        <f t="shared" si="17"/>
        <v>#DIV/0!</v>
      </c>
    </row>
    <row r="49" spans="2:24" ht="12.75" hidden="1">
      <c r="B49" s="91"/>
      <c r="C49" s="92"/>
      <c r="D49" s="93"/>
      <c r="E49" s="96"/>
      <c r="F49" s="97" t="s">
        <v>57</v>
      </c>
      <c r="G49" s="107" t="s">
        <v>205</v>
      </c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>
        <f t="shared" si="5"/>
        <v>0</v>
      </c>
      <c r="V49" s="248">
        <f t="shared" si="14"/>
        <v>0</v>
      </c>
      <c r="W49" s="35"/>
      <c r="X49" s="249" t="e">
        <f t="shared" si="17"/>
        <v>#DIV/0!</v>
      </c>
    </row>
    <row r="50" spans="2:24" ht="12.75" hidden="1">
      <c r="B50" s="91"/>
      <c r="C50" s="92"/>
      <c r="D50" s="93"/>
      <c r="E50" s="96"/>
      <c r="F50" s="97" t="s">
        <v>61</v>
      </c>
      <c r="G50" s="107" t="s">
        <v>206</v>
      </c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>
        <f t="shared" si="5"/>
        <v>0</v>
      </c>
      <c r="V50" s="248">
        <f t="shared" si="14"/>
        <v>0</v>
      </c>
      <c r="W50" s="35"/>
      <c r="X50" s="249" t="e">
        <f t="shared" si="17"/>
        <v>#DIV/0!</v>
      </c>
    </row>
    <row r="51" spans="2:24" ht="12.75" hidden="1">
      <c r="B51" s="91"/>
      <c r="C51" s="92"/>
      <c r="D51" s="93"/>
      <c r="E51" s="96"/>
      <c r="F51" s="97" t="s">
        <v>30</v>
      </c>
      <c r="G51" s="107" t="s">
        <v>207</v>
      </c>
      <c r="H51" s="322">
        <v>0</v>
      </c>
      <c r="I51" s="322">
        <v>0</v>
      </c>
      <c r="J51" s="322">
        <v>0</v>
      </c>
      <c r="K51" s="322">
        <v>0</v>
      </c>
      <c r="L51" s="322">
        <v>0</v>
      </c>
      <c r="M51" s="322">
        <v>0</v>
      </c>
      <c r="N51" s="322">
        <v>0</v>
      </c>
      <c r="O51" s="322">
        <v>0</v>
      </c>
      <c r="P51" s="322">
        <v>0</v>
      </c>
      <c r="Q51" s="322">
        <v>0</v>
      </c>
      <c r="R51" s="322">
        <v>0</v>
      </c>
      <c r="S51" s="322">
        <v>0</v>
      </c>
      <c r="T51" s="322">
        <v>0</v>
      </c>
      <c r="U51" s="322">
        <f t="shared" si="5"/>
        <v>0</v>
      </c>
      <c r="V51" s="248">
        <f t="shared" si="14"/>
        <v>0</v>
      </c>
      <c r="W51" s="35"/>
      <c r="X51" s="247">
        <v>0</v>
      </c>
    </row>
    <row r="52" spans="2:24" ht="12.75">
      <c r="B52" s="109"/>
      <c r="C52" s="110"/>
      <c r="D52" s="111"/>
      <c r="E52" s="106" t="s">
        <v>208</v>
      </c>
      <c r="F52" s="112"/>
      <c r="G52" s="107" t="s">
        <v>209</v>
      </c>
      <c r="H52" s="225">
        <f>SUM(H53:H54)</f>
        <v>129179000</v>
      </c>
      <c r="I52" s="225">
        <f>SUM(I53:I54)</f>
        <v>10826766</v>
      </c>
      <c r="J52" s="225">
        <f aca="true" t="shared" si="18" ref="J52:S52">SUM(J53:J54)</f>
        <v>10838716</v>
      </c>
      <c r="K52" s="225">
        <f t="shared" si="18"/>
        <v>10832007</v>
      </c>
      <c r="L52" s="225">
        <f t="shared" si="18"/>
        <v>10699169</v>
      </c>
      <c r="M52" s="225">
        <f t="shared" si="18"/>
        <v>10734986</v>
      </c>
      <c r="N52" s="225">
        <f>SUM(N53:N54)</f>
        <v>10684654</v>
      </c>
      <c r="O52" s="225">
        <f t="shared" si="18"/>
        <v>10657003</v>
      </c>
      <c r="P52" s="225">
        <f t="shared" si="18"/>
        <v>11138177</v>
      </c>
      <c r="Q52" s="225">
        <f t="shared" si="18"/>
        <v>11133740</v>
      </c>
      <c r="R52" s="225">
        <f t="shared" si="18"/>
        <v>0</v>
      </c>
      <c r="S52" s="225">
        <f t="shared" si="18"/>
        <v>0</v>
      </c>
      <c r="T52" s="225">
        <f>SUM(T53:T54)</f>
        <v>0</v>
      </c>
      <c r="U52" s="225">
        <f>SUM(U53:U54)</f>
        <v>97545218</v>
      </c>
      <c r="V52" s="246">
        <f t="shared" si="14"/>
        <v>31633782</v>
      </c>
      <c r="W52" s="37">
        <f>SUM(W53:W54)</f>
        <v>0</v>
      </c>
      <c r="X52" s="247">
        <f>SUM(U52/H52)*100</f>
        <v>75.5116683052199</v>
      </c>
    </row>
    <row r="53" spans="2:24" ht="12.75">
      <c r="B53" s="109"/>
      <c r="C53" s="110"/>
      <c r="D53" s="111"/>
      <c r="E53" s="106"/>
      <c r="F53" s="112" t="s">
        <v>14</v>
      </c>
      <c r="G53" s="107" t="s">
        <v>210</v>
      </c>
      <c r="H53" s="322">
        <v>129179000</v>
      </c>
      <c r="I53" s="322">
        <v>10826766</v>
      </c>
      <c r="J53" s="322">
        <v>10838716</v>
      </c>
      <c r="K53" s="322">
        <v>10832007</v>
      </c>
      <c r="L53" s="322">
        <v>10699169</v>
      </c>
      <c r="M53" s="322">
        <v>10734986</v>
      </c>
      <c r="N53" s="322">
        <v>10684654</v>
      </c>
      <c r="O53" s="322">
        <v>10657003</v>
      </c>
      <c r="P53" s="322">
        <v>11138177</v>
      </c>
      <c r="Q53" s="322">
        <v>11133740</v>
      </c>
      <c r="R53" s="322">
        <v>0</v>
      </c>
      <c r="S53" s="322">
        <v>0</v>
      </c>
      <c r="T53" s="322">
        <v>0</v>
      </c>
      <c r="U53" s="322">
        <f t="shared" si="5"/>
        <v>97545218</v>
      </c>
      <c r="V53" s="248">
        <f t="shared" si="14"/>
        <v>31633782</v>
      </c>
      <c r="W53" s="35">
        <v>0</v>
      </c>
      <c r="X53" s="247">
        <f>SUM(U53/H53)*100</f>
        <v>75.5116683052199</v>
      </c>
    </row>
    <row r="54" spans="2:24" ht="12.75">
      <c r="B54" s="109"/>
      <c r="C54" s="110"/>
      <c r="D54" s="111"/>
      <c r="E54" s="106"/>
      <c r="F54" s="112" t="s">
        <v>30</v>
      </c>
      <c r="G54" s="107" t="s">
        <v>211</v>
      </c>
      <c r="H54" s="322">
        <v>0</v>
      </c>
      <c r="I54" s="322">
        <v>0</v>
      </c>
      <c r="J54" s="322">
        <v>0</v>
      </c>
      <c r="K54" s="322">
        <v>0</v>
      </c>
      <c r="L54" s="322">
        <v>0</v>
      </c>
      <c r="M54" s="322">
        <v>0</v>
      </c>
      <c r="N54" s="322">
        <v>0</v>
      </c>
      <c r="O54" s="322">
        <v>0</v>
      </c>
      <c r="P54" s="322">
        <v>0</v>
      </c>
      <c r="Q54" s="322">
        <v>0</v>
      </c>
      <c r="R54" s="322">
        <v>0</v>
      </c>
      <c r="S54" s="322">
        <v>0</v>
      </c>
      <c r="T54" s="322">
        <v>0</v>
      </c>
      <c r="U54" s="322">
        <f t="shared" si="5"/>
        <v>0</v>
      </c>
      <c r="V54" s="248">
        <f t="shared" si="14"/>
        <v>0</v>
      </c>
      <c r="W54" s="35"/>
      <c r="X54" s="247">
        <v>0</v>
      </c>
    </row>
    <row r="55" spans="2:24" ht="12.75">
      <c r="B55" s="91"/>
      <c r="C55" s="92"/>
      <c r="D55" s="93"/>
      <c r="E55" s="96" t="s">
        <v>212</v>
      </c>
      <c r="F55" s="97"/>
      <c r="G55" s="98" t="s">
        <v>213</v>
      </c>
      <c r="H55" s="225">
        <f>SUM(H56)</f>
        <v>15300000</v>
      </c>
      <c r="I55" s="225">
        <f aca="true" t="shared" si="19" ref="I55:U55">SUM(I56)</f>
        <v>1272772</v>
      </c>
      <c r="J55" s="225">
        <f t="shared" si="19"/>
        <v>1294312</v>
      </c>
      <c r="K55" s="225">
        <f t="shared" si="19"/>
        <v>1294312</v>
      </c>
      <c r="L55" s="225">
        <f t="shared" si="19"/>
        <v>1294312</v>
      </c>
      <c r="M55" s="225">
        <f t="shared" si="19"/>
        <v>1294312</v>
      </c>
      <c r="N55" s="225">
        <f t="shared" si="19"/>
        <v>1273991</v>
      </c>
      <c r="O55" s="225">
        <f t="shared" si="19"/>
        <v>1294312</v>
      </c>
      <c r="P55" s="225">
        <f t="shared" si="19"/>
        <v>1294312</v>
      </c>
      <c r="Q55" s="225">
        <f t="shared" si="19"/>
        <v>1294312</v>
      </c>
      <c r="R55" s="225">
        <f t="shared" si="19"/>
        <v>0</v>
      </c>
      <c r="S55" s="225">
        <f t="shared" si="19"/>
        <v>0</v>
      </c>
      <c r="T55" s="225">
        <f t="shared" si="19"/>
        <v>0</v>
      </c>
      <c r="U55" s="225">
        <f t="shared" si="19"/>
        <v>11606947</v>
      </c>
      <c r="V55" s="246">
        <f t="shared" si="14"/>
        <v>3693053</v>
      </c>
      <c r="W55" s="37">
        <f>SUM(W56:W57)</f>
        <v>0</v>
      </c>
      <c r="X55" s="247">
        <f aca="true" t="shared" si="20" ref="X55:X74">SUM(U55/H55)*100</f>
        <v>75.86239869281046</v>
      </c>
    </row>
    <row r="56" spans="2:24" ht="12.75">
      <c r="B56" s="91"/>
      <c r="C56" s="92"/>
      <c r="D56" s="93"/>
      <c r="E56" s="96"/>
      <c r="F56" s="97" t="s">
        <v>14</v>
      </c>
      <c r="G56" s="105" t="s">
        <v>214</v>
      </c>
      <c r="H56" s="322">
        <v>15300000</v>
      </c>
      <c r="I56" s="322">
        <v>1272772</v>
      </c>
      <c r="J56" s="322">
        <v>1294312</v>
      </c>
      <c r="K56" s="322">
        <v>1294312</v>
      </c>
      <c r="L56" s="322">
        <v>1294312</v>
      </c>
      <c r="M56" s="322">
        <v>1294312</v>
      </c>
      <c r="N56" s="322">
        <v>1273991</v>
      </c>
      <c r="O56" s="322">
        <v>1294312</v>
      </c>
      <c r="P56" s="322">
        <v>1294312</v>
      </c>
      <c r="Q56" s="322">
        <v>1294312</v>
      </c>
      <c r="R56" s="322">
        <v>0</v>
      </c>
      <c r="S56" s="322">
        <v>0</v>
      </c>
      <c r="T56" s="322">
        <v>0</v>
      </c>
      <c r="U56" s="322">
        <f t="shared" si="5"/>
        <v>11606947</v>
      </c>
      <c r="V56" s="248">
        <f t="shared" si="14"/>
        <v>3693053</v>
      </c>
      <c r="W56" s="35"/>
      <c r="X56" s="247">
        <f t="shared" si="20"/>
        <v>75.86239869281046</v>
      </c>
    </row>
    <row r="57" spans="2:24" ht="12.75">
      <c r="B57" s="91"/>
      <c r="C57" s="92"/>
      <c r="D57" s="93"/>
      <c r="E57" s="96" t="s">
        <v>565</v>
      </c>
      <c r="F57" s="97"/>
      <c r="G57" s="105" t="s">
        <v>566</v>
      </c>
      <c r="H57" s="322">
        <v>290716000</v>
      </c>
      <c r="I57" s="322"/>
      <c r="J57" s="322"/>
      <c r="K57" s="322"/>
      <c r="L57" s="322"/>
      <c r="M57" s="322">
        <v>70624763</v>
      </c>
      <c r="N57" s="322"/>
      <c r="O57" s="322">
        <v>69898650</v>
      </c>
      <c r="P57" s="322">
        <v>77848</v>
      </c>
      <c r="Q57" s="322"/>
      <c r="R57" s="322"/>
      <c r="S57" s="322"/>
      <c r="T57" s="322"/>
      <c r="U57" s="322">
        <f t="shared" si="5"/>
        <v>140601261</v>
      </c>
      <c r="V57" s="248">
        <f t="shared" si="14"/>
        <v>150114739</v>
      </c>
      <c r="W57" s="35"/>
      <c r="X57" s="247">
        <f t="shared" si="20"/>
        <v>48.36378493099795</v>
      </c>
    </row>
    <row r="58" spans="2:24" ht="12.75">
      <c r="B58" s="91"/>
      <c r="C58" s="92"/>
      <c r="D58" s="93"/>
      <c r="E58" s="96" t="s">
        <v>218</v>
      </c>
      <c r="F58" s="97"/>
      <c r="G58" s="98" t="s">
        <v>219</v>
      </c>
      <c r="H58" s="225">
        <f>SUM(H59:H60)</f>
        <v>2780000</v>
      </c>
      <c r="I58" s="225">
        <f>SUM(I59:I60)</f>
        <v>117379</v>
      </c>
      <c r="J58" s="225">
        <f aca="true" t="shared" si="21" ref="J58:S58">SUM(J59:J60)</f>
        <v>117379</v>
      </c>
      <c r="K58" s="225">
        <f t="shared" si="21"/>
        <v>117379</v>
      </c>
      <c r="L58" s="225">
        <f t="shared" si="21"/>
        <v>117379</v>
      </c>
      <c r="M58" s="225">
        <f t="shared" si="21"/>
        <v>223020</v>
      </c>
      <c r="N58" s="225">
        <f>SUM(N59:N60)</f>
        <v>234758</v>
      </c>
      <c r="O58" s="225">
        <f t="shared" si="21"/>
        <v>234758</v>
      </c>
      <c r="P58" s="225">
        <f t="shared" si="21"/>
        <v>234758</v>
      </c>
      <c r="Q58" s="225">
        <f t="shared" si="21"/>
        <v>234758</v>
      </c>
      <c r="R58" s="225">
        <f t="shared" si="21"/>
        <v>0</v>
      </c>
      <c r="S58" s="225">
        <f t="shared" si="21"/>
        <v>0</v>
      </c>
      <c r="T58" s="225">
        <f>SUM(T59:T60)</f>
        <v>0</v>
      </c>
      <c r="U58" s="225">
        <f>SUM(U59:U60)</f>
        <v>1631568</v>
      </c>
      <c r="V58" s="246">
        <f t="shared" si="14"/>
        <v>1148432</v>
      </c>
      <c r="W58" s="37">
        <f>SUM(W59:W60)</f>
        <v>0</v>
      </c>
      <c r="X58" s="247">
        <f t="shared" si="20"/>
        <v>58.689496402877694</v>
      </c>
    </row>
    <row r="59" spans="2:24" ht="24">
      <c r="B59" s="91"/>
      <c r="C59" s="92"/>
      <c r="D59" s="93"/>
      <c r="E59" s="96"/>
      <c r="F59" s="97" t="s">
        <v>14</v>
      </c>
      <c r="G59" s="99" t="s">
        <v>220</v>
      </c>
      <c r="H59" s="322">
        <v>380000</v>
      </c>
      <c r="I59" s="322">
        <v>15797</v>
      </c>
      <c r="J59" s="322">
        <v>15797</v>
      </c>
      <c r="K59" s="322">
        <v>15797</v>
      </c>
      <c r="L59" s="322">
        <v>15797</v>
      </c>
      <c r="M59" s="322">
        <v>30014</v>
      </c>
      <c r="N59" s="322">
        <v>31594</v>
      </c>
      <c r="O59" s="322">
        <v>31594</v>
      </c>
      <c r="P59" s="322">
        <v>31594</v>
      </c>
      <c r="Q59" s="322">
        <v>31594</v>
      </c>
      <c r="R59" s="322">
        <v>0</v>
      </c>
      <c r="S59" s="322">
        <v>0</v>
      </c>
      <c r="T59" s="322">
        <v>0</v>
      </c>
      <c r="U59" s="322">
        <f t="shared" si="5"/>
        <v>219578</v>
      </c>
      <c r="V59" s="248">
        <f t="shared" si="14"/>
        <v>160422</v>
      </c>
      <c r="W59" s="35"/>
      <c r="X59" s="247">
        <f t="shared" si="20"/>
        <v>57.78368421052632</v>
      </c>
    </row>
    <row r="60" spans="2:24" ht="24">
      <c r="B60" s="91"/>
      <c r="C60" s="92"/>
      <c r="D60" s="93"/>
      <c r="E60" s="96"/>
      <c r="F60" s="97" t="s">
        <v>17</v>
      </c>
      <c r="G60" s="99" t="s">
        <v>221</v>
      </c>
      <c r="H60" s="322">
        <v>2400000</v>
      </c>
      <c r="I60" s="322">
        <v>101582</v>
      </c>
      <c r="J60" s="322">
        <v>101582</v>
      </c>
      <c r="K60" s="322">
        <v>101582</v>
      </c>
      <c r="L60" s="322">
        <v>101582</v>
      </c>
      <c r="M60" s="322">
        <v>193006</v>
      </c>
      <c r="N60" s="322">
        <v>203164</v>
      </c>
      <c r="O60" s="322">
        <v>203164</v>
      </c>
      <c r="P60" s="322">
        <v>203164</v>
      </c>
      <c r="Q60" s="322">
        <v>203164</v>
      </c>
      <c r="R60" s="322">
        <v>0</v>
      </c>
      <c r="S60" s="322">
        <v>0</v>
      </c>
      <c r="T60" s="322">
        <v>0</v>
      </c>
      <c r="U60" s="322">
        <f t="shared" si="5"/>
        <v>1411990</v>
      </c>
      <c r="V60" s="248">
        <f t="shared" si="14"/>
        <v>988010</v>
      </c>
      <c r="W60" s="35"/>
      <c r="X60" s="247">
        <f t="shared" si="20"/>
        <v>58.83291666666667</v>
      </c>
    </row>
    <row r="61" spans="2:24" ht="12.75" hidden="1">
      <c r="B61" s="91"/>
      <c r="C61" s="92"/>
      <c r="D61" s="93"/>
      <c r="E61" s="96" t="s">
        <v>222</v>
      </c>
      <c r="F61" s="97"/>
      <c r="G61" s="98" t="s">
        <v>223</v>
      </c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>
        <f t="shared" si="5"/>
        <v>0</v>
      </c>
      <c r="V61" s="248">
        <f t="shared" si="14"/>
        <v>0</v>
      </c>
      <c r="W61" s="35"/>
      <c r="X61" s="249" t="e">
        <f t="shared" si="20"/>
        <v>#DIV/0!</v>
      </c>
    </row>
    <row r="62" spans="2:24" ht="12.75" hidden="1">
      <c r="B62" s="91"/>
      <c r="C62" s="92"/>
      <c r="D62" s="93"/>
      <c r="E62" s="96" t="s">
        <v>224</v>
      </c>
      <c r="F62" s="97"/>
      <c r="G62" s="98" t="s">
        <v>225</v>
      </c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22">
        <f t="shared" si="5"/>
        <v>0</v>
      </c>
      <c r="V62" s="248">
        <f t="shared" si="14"/>
        <v>0</v>
      </c>
      <c r="W62" s="35"/>
      <c r="X62" s="249" t="e">
        <f t="shared" si="20"/>
        <v>#DIV/0!</v>
      </c>
    </row>
    <row r="63" spans="2:24" ht="12.75">
      <c r="B63" s="109"/>
      <c r="C63" s="110"/>
      <c r="D63" s="111"/>
      <c r="E63" s="106" t="s">
        <v>226</v>
      </c>
      <c r="F63" s="112"/>
      <c r="G63" s="107" t="s">
        <v>227</v>
      </c>
      <c r="H63" s="225">
        <f>SUM(H64:H67)</f>
        <v>3817000</v>
      </c>
      <c r="I63" s="225">
        <f>SUM(I64:I67)</f>
        <v>101157</v>
      </c>
      <c r="J63" s="225">
        <f aca="true" t="shared" si="22" ref="J63:S63">SUM(J64:J67)</f>
        <v>101157</v>
      </c>
      <c r="K63" s="225">
        <f t="shared" si="22"/>
        <v>101157</v>
      </c>
      <c r="L63" s="225">
        <f t="shared" si="22"/>
        <v>101157</v>
      </c>
      <c r="M63" s="225">
        <f t="shared" si="22"/>
        <v>192198</v>
      </c>
      <c r="N63" s="225">
        <f>SUM(N64:N67)</f>
        <v>202314</v>
      </c>
      <c r="O63" s="225">
        <f t="shared" si="22"/>
        <v>202314</v>
      </c>
      <c r="P63" s="225">
        <f t="shared" si="22"/>
        <v>202314</v>
      </c>
      <c r="Q63" s="225">
        <f t="shared" si="22"/>
        <v>202314</v>
      </c>
      <c r="R63" s="225">
        <f t="shared" si="22"/>
        <v>0</v>
      </c>
      <c r="S63" s="225">
        <f t="shared" si="22"/>
        <v>0</v>
      </c>
      <c r="T63" s="225">
        <f>SUM(T64:T67)</f>
        <v>0</v>
      </c>
      <c r="U63" s="225">
        <f>SUM(U64:U67)</f>
        <v>1406082</v>
      </c>
      <c r="V63" s="246">
        <f t="shared" si="14"/>
        <v>2410918</v>
      </c>
      <c r="W63" s="37">
        <f>SUM(W64:W67)</f>
        <v>0</v>
      </c>
      <c r="X63" s="247">
        <f t="shared" si="20"/>
        <v>36.83735918260414</v>
      </c>
    </row>
    <row r="64" spans="2:24" ht="24" hidden="1">
      <c r="B64" s="109"/>
      <c r="C64" s="110"/>
      <c r="D64" s="111"/>
      <c r="E64" s="106"/>
      <c r="F64" s="112" t="s">
        <v>14</v>
      </c>
      <c r="G64" s="108" t="s">
        <v>228</v>
      </c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2">
        <f t="shared" si="5"/>
        <v>0</v>
      </c>
      <c r="V64" s="248">
        <f t="shared" si="14"/>
        <v>0</v>
      </c>
      <c r="W64" s="35"/>
      <c r="X64" s="249" t="e">
        <f t="shared" si="20"/>
        <v>#DIV/0!</v>
      </c>
    </row>
    <row r="65" spans="2:24" ht="24" hidden="1">
      <c r="B65" s="109"/>
      <c r="C65" s="110"/>
      <c r="D65" s="111"/>
      <c r="E65" s="106"/>
      <c r="F65" s="112" t="s">
        <v>17</v>
      </c>
      <c r="G65" s="108" t="s">
        <v>229</v>
      </c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>
        <f t="shared" si="5"/>
        <v>0</v>
      </c>
      <c r="V65" s="248">
        <f t="shared" si="14"/>
        <v>0</v>
      </c>
      <c r="W65" s="35"/>
      <c r="X65" s="249" t="e">
        <f t="shared" si="20"/>
        <v>#DIV/0!</v>
      </c>
    </row>
    <row r="66" spans="2:24" ht="12.75">
      <c r="B66" s="109"/>
      <c r="C66" s="110"/>
      <c r="D66" s="111"/>
      <c r="E66" s="106"/>
      <c r="F66" s="112" t="s">
        <v>22</v>
      </c>
      <c r="G66" s="107" t="s">
        <v>230</v>
      </c>
      <c r="H66" s="322">
        <v>3817000</v>
      </c>
      <c r="I66" s="322">
        <v>101157</v>
      </c>
      <c r="J66" s="322">
        <v>101157</v>
      </c>
      <c r="K66" s="322">
        <v>101157</v>
      </c>
      <c r="L66" s="322">
        <v>101157</v>
      </c>
      <c r="M66" s="322">
        <v>192198</v>
      </c>
      <c r="N66" s="322">
        <v>202314</v>
      </c>
      <c r="O66" s="322">
        <v>202314</v>
      </c>
      <c r="P66" s="322">
        <v>202314</v>
      </c>
      <c r="Q66" s="322">
        <v>202314</v>
      </c>
      <c r="R66" s="322">
        <v>0</v>
      </c>
      <c r="S66" s="322">
        <v>0</v>
      </c>
      <c r="T66" s="322">
        <v>0</v>
      </c>
      <c r="U66" s="322">
        <f t="shared" si="5"/>
        <v>1406082</v>
      </c>
      <c r="V66" s="248">
        <f t="shared" si="14"/>
        <v>2410918</v>
      </c>
      <c r="W66" s="35"/>
      <c r="X66" s="247">
        <f t="shared" si="20"/>
        <v>36.83735918260414</v>
      </c>
    </row>
    <row r="67" spans="2:24" ht="12.75" hidden="1">
      <c r="B67" s="109"/>
      <c r="C67" s="110"/>
      <c r="D67" s="111"/>
      <c r="E67" s="106"/>
      <c r="F67" s="112" t="s">
        <v>28</v>
      </c>
      <c r="G67" s="107" t="s">
        <v>231</v>
      </c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>
        <f t="shared" si="5"/>
        <v>0</v>
      </c>
      <c r="V67" s="248">
        <f t="shared" si="14"/>
        <v>0</v>
      </c>
      <c r="W67" s="35"/>
      <c r="X67" s="249" t="e">
        <f t="shared" si="20"/>
        <v>#DIV/0!</v>
      </c>
    </row>
    <row r="68" spans="2:24" ht="12.75" hidden="1">
      <c r="B68" s="91"/>
      <c r="C68" s="92"/>
      <c r="D68" s="93"/>
      <c r="E68" s="96" t="s">
        <v>232</v>
      </c>
      <c r="F68" s="97"/>
      <c r="G68" s="98" t="s">
        <v>233</v>
      </c>
      <c r="H68" s="225">
        <f>SUM(H69:H70)</f>
        <v>0</v>
      </c>
      <c r="I68" s="225">
        <f>SUM(I69:I70)</f>
        <v>0</v>
      </c>
      <c r="J68" s="225">
        <f aca="true" t="shared" si="23" ref="J68:S68">SUM(J69:J70)</f>
        <v>0</v>
      </c>
      <c r="K68" s="225">
        <f t="shared" si="23"/>
        <v>0</v>
      </c>
      <c r="L68" s="225">
        <f t="shared" si="23"/>
        <v>0</v>
      </c>
      <c r="M68" s="225">
        <f t="shared" si="23"/>
        <v>0</v>
      </c>
      <c r="N68" s="225">
        <f>SUM(N69:N70)</f>
        <v>0</v>
      </c>
      <c r="O68" s="225">
        <f t="shared" si="23"/>
        <v>0</v>
      </c>
      <c r="P68" s="225">
        <f t="shared" si="23"/>
        <v>0</v>
      </c>
      <c r="Q68" s="225">
        <f t="shared" si="23"/>
        <v>0</v>
      </c>
      <c r="R68" s="225">
        <f t="shared" si="23"/>
        <v>0</v>
      </c>
      <c r="S68" s="225">
        <f t="shared" si="23"/>
        <v>0</v>
      </c>
      <c r="T68" s="225">
        <f>SUM(T69:T70)</f>
        <v>0</v>
      </c>
      <c r="U68" s="225">
        <f>SUM(U69:U70)</f>
        <v>0</v>
      </c>
      <c r="V68" s="246">
        <f t="shared" si="14"/>
        <v>0</v>
      </c>
      <c r="W68" s="37">
        <f>SUM(W69:W70)</f>
        <v>0</v>
      </c>
      <c r="X68" s="249" t="e">
        <f t="shared" si="20"/>
        <v>#DIV/0!</v>
      </c>
    </row>
    <row r="69" spans="2:24" ht="12.75" hidden="1">
      <c r="B69" s="109"/>
      <c r="C69" s="110"/>
      <c r="D69" s="111"/>
      <c r="E69" s="106"/>
      <c r="F69" s="112" t="s">
        <v>14</v>
      </c>
      <c r="G69" s="107" t="s">
        <v>234</v>
      </c>
      <c r="H69" s="322"/>
      <c r="I69" s="322"/>
      <c r="J69" s="322"/>
      <c r="K69" s="322"/>
      <c r="L69" s="322"/>
      <c r="M69" s="322"/>
      <c r="N69" s="322"/>
      <c r="O69" s="322"/>
      <c r="P69" s="322"/>
      <c r="Q69" s="322"/>
      <c r="R69" s="322"/>
      <c r="S69" s="322"/>
      <c r="T69" s="322"/>
      <c r="U69" s="322">
        <f t="shared" si="5"/>
        <v>0</v>
      </c>
      <c r="V69" s="248">
        <f t="shared" si="14"/>
        <v>0</v>
      </c>
      <c r="W69" s="35"/>
      <c r="X69" s="249" t="e">
        <f t="shared" si="20"/>
        <v>#DIV/0!</v>
      </c>
    </row>
    <row r="70" spans="2:24" ht="12.75" hidden="1">
      <c r="B70" s="109"/>
      <c r="C70" s="110"/>
      <c r="D70" s="111"/>
      <c r="E70" s="106"/>
      <c r="F70" s="112" t="s">
        <v>17</v>
      </c>
      <c r="G70" s="107" t="s">
        <v>235</v>
      </c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322"/>
      <c r="S70" s="322"/>
      <c r="T70" s="322"/>
      <c r="U70" s="322">
        <f t="shared" si="5"/>
        <v>0</v>
      </c>
      <c r="V70" s="248">
        <f t="shared" si="14"/>
        <v>0</v>
      </c>
      <c r="W70" s="35"/>
      <c r="X70" s="249" t="e">
        <f t="shared" si="20"/>
        <v>#DIV/0!</v>
      </c>
    </row>
    <row r="71" spans="2:24" ht="12.75" hidden="1">
      <c r="B71" s="91"/>
      <c r="C71" s="92"/>
      <c r="D71" s="93"/>
      <c r="E71" s="96" t="s">
        <v>236</v>
      </c>
      <c r="F71" s="112"/>
      <c r="G71" s="107" t="s">
        <v>237</v>
      </c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>
        <f t="shared" si="5"/>
        <v>0</v>
      </c>
      <c r="V71" s="248">
        <f t="shared" si="14"/>
        <v>0</v>
      </c>
      <c r="W71" s="35"/>
      <c r="X71" s="249" t="e">
        <f t="shared" si="20"/>
        <v>#DIV/0!</v>
      </c>
    </row>
    <row r="72" spans="2:24" ht="12.75" hidden="1">
      <c r="B72" s="91"/>
      <c r="C72" s="92"/>
      <c r="D72" s="93"/>
      <c r="E72" s="96" t="s">
        <v>238</v>
      </c>
      <c r="F72" s="97"/>
      <c r="G72" s="98" t="s">
        <v>239</v>
      </c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322"/>
      <c r="T72" s="322"/>
      <c r="U72" s="322">
        <f t="shared" si="5"/>
        <v>0</v>
      </c>
      <c r="V72" s="248">
        <f>H72-U72</f>
        <v>0</v>
      </c>
      <c r="W72" s="35"/>
      <c r="X72" s="249" t="e">
        <f t="shared" si="20"/>
        <v>#DIV/0!</v>
      </c>
    </row>
    <row r="73" spans="2:24" ht="12.75" hidden="1">
      <c r="B73" s="91"/>
      <c r="C73" s="92"/>
      <c r="D73" s="93"/>
      <c r="E73" s="96" t="s">
        <v>240</v>
      </c>
      <c r="F73" s="97"/>
      <c r="G73" s="98" t="s">
        <v>241</v>
      </c>
      <c r="H73" s="322"/>
      <c r="I73" s="322"/>
      <c r="J73" s="322"/>
      <c r="K73" s="322"/>
      <c r="L73" s="322"/>
      <c r="M73" s="322"/>
      <c r="N73" s="322"/>
      <c r="O73" s="322"/>
      <c r="P73" s="322"/>
      <c r="Q73" s="322"/>
      <c r="R73" s="322"/>
      <c r="S73" s="322"/>
      <c r="T73" s="322"/>
      <c r="U73" s="322">
        <f t="shared" si="5"/>
        <v>0</v>
      </c>
      <c r="V73" s="248"/>
      <c r="W73" s="35"/>
      <c r="X73" s="249" t="e">
        <f t="shared" si="20"/>
        <v>#DIV/0!</v>
      </c>
    </row>
    <row r="74" spans="2:24" ht="12.75">
      <c r="B74" s="91"/>
      <c r="C74" s="92"/>
      <c r="D74" s="93"/>
      <c r="E74" s="96" t="s">
        <v>242</v>
      </c>
      <c r="F74" s="97"/>
      <c r="G74" s="98" t="s">
        <v>243</v>
      </c>
      <c r="H74" s="322">
        <v>30787000</v>
      </c>
      <c r="I74" s="322">
        <v>2564447</v>
      </c>
      <c r="J74" s="322">
        <v>2564447</v>
      </c>
      <c r="K74" s="322">
        <v>2564447</v>
      </c>
      <c r="L74" s="322">
        <v>2564447</v>
      </c>
      <c r="M74" s="322">
        <v>2564447</v>
      </c>
      <c r="N74" s="322">
        <v>2564447</v>
      </c>
      <c r="O74" s="322">
        <v>2564447</v>
      </c>
      <c r="P74" s="322">
        <v>2564447</v>
      </c>
      <c r="Q74" s="322">
        <v>2564447</v>
      </c>
      <c r="R74" s="322">
        <v>0</v>
      </c>
      <c r="S74" s="322">
        <v>0</v>
      </c>
      <c r="T74" s="322">
        <v>0</v>
      </c>
      <c r="U74" s="322">
        <f t="shared" si="5"/>
        <v>23080023</v>
      </c>
      <c r="V74" s="36">
        <f aca="true" t="shared" si="24" ref="V74:V105">H74-U74</f>
        <v>7706977</v>
      </c>
      <c r="W74" s="35"/>
      <c r="X74" s="247">
        <f t="shared" si="20"/>
        <v>74.96678143372203</v>
      </c>
    </row>
    <row r="75" spans="2:24" ht="12.75" hidden="1">
      <c r="B75" s="91"/>
      <c r="C75" s="92"/>
      <c r="D75" s="93"/>
      <c r="E75" s="96" t="s">
        <v>244</v>
      </c>
      <c r="F75" s="97"/>
      <c r="G75" s="98" t="s">
        <v>245</v>
      </c>
      <c r="H75" s="225">
        <f aca="true" t="shared" si="25" ref="H75:W75">SUM(H76)</f>
        <v>0</v>
      </c>
      <c r="I75" s="225">
        <f t="shared" si="25"/>
        <v>0</v>
      </c>
      <c r="J75" s="225">
        <f t="shared" si="25"/>
        <v>0</v>
      </c>
      <c r="K75" s="225">
        <f t="shared" si="25"/>
        <v>0</v>
      </c>
      <c r="L75" s="225">
        <f t="shared" si="25"/>
        <v>0</v>
      </c>
      <c r="M75" s="225">
        <f t="shared" si="25"/>
        <v>0</v>
      </c>
      <c r="N75" s="225">
        <f t="shared" si="25"/>
        <v>0</v>
      </c>
      <c r="O75" s="225">
        <f t="shared" si="25"/>
        <v>0</v>
      </c>
      <c r="P75" s="225">
        <f t="shared" si="25"/>
        <v>0</v>
      </c>
      <c r="Q75" s="225">
        <f t="shared" si="25"/>
        <v>0</v>
      </c>
      <c r="R75" s="225">
        <f t="shared" si="25"/>
        <v>0</v>
      </c>
      <c r="S75" s="225">
        <f t="shared" si="25"/>
        <v>0</v>
      </c>
      <c r="T75" s="225">
        <f t="shared" si="25"/>
        <v>0</v>
      </c>
      <c r="U75" s="225">
        <f t="shared" si="25"/>
        <v>0</v>
      </c>
      <c r="V75" s="246">
        <f t="shared" si="24"/>
        <v>0</v>
      </c>
      <c r="W75" s="37">
        <f t="shared" si="25"/>
        <v>0</v>
      </c>
      <c r="X75" s="247">
        <v>0</v>
      </c>
    </row>
    <row r="76" spans="2:24" ht="12.75" hidden="1">
      <c r="B76" s="91"/>
      <c r="C76" s="92"/>
      <c r="D76" s="93"/>
      <c r="E76" s="96"/>
      <c r="F76" s="113" t="s">
        <v>14</v>
      </c>
      <c r="G76" s="107" t="s">
        <v>246</v>
      </c>
      <c r="H76" s="322">
        <v>0</v>
      </c>
      <c r="I76" s="322">
        <v>0</v>
      </c>
      <c r="J76" s="322">
        <v>0</v>
      </c>
      <c r="K76" s="322">
        <v>0</v>
      </c>
      <c r="L76" s="322">
        <v>0</v>
      </c>
      <c r="M76" s="322">
        <v>0</v>
      </c>
      <c r="N76" s="322">
        <v>0</v>
      </c>
      <c r="O76" s="322">
        <v>0</v>
      </c>
      <c r="P76" s="322">
        <v>0</v>
      </c>
      <c r="Q76" s="322">
        <v>0</v>
      </c>
      <c r="R76" s="322">
        <v>0</v>
      </c>
      <c r="S76" s="322">
        <v>0</v>
      </c>
      <c r="T76" s="322">
        <v>0</v>
      </c>
      <c r="U76" s="322">
        <f t="shared" si="5"/>
        <v>0</v>
      </c>
      <c r="V76" s="248">
        <f t="shared" si="24"/>
        <v>0</v>
      </c>
      <c r="W76" s="35"/>
      <c r="X76" s="247">
        <v>0</v>
      </c>
    </row>
    <row r="77" spans="2:24" ht="12.75">
      <c r="B77" s="91"/>
      <c r="C77" s="92"/>
      <c r="D77" s="93"/>
      <c r="E77" s="96" t="s">
        <v>30</v>
      </c>
      <c r="F77" s="112"/>
      <c r="G77" s="98" t="s">
        <v>247</v>
      </c>
      <c r="H77" s="322">
        <v>40803000</v>
      </c>
      <c r="I77" s="322">
        <v>22410000</v>
      </c>
      <c r="J77" s="322">
        <v>0</v>
      </c>
      <c r="K77" s="322">
        <v>0</v>
      </c>
      <c r="L77" s="322">
        <v>0</v>
      </c>
      <c r="M77" s="322">
        <v>0</v>
      </c>
      <c r="N77" s="322">
        <v>0</v>
      </c>
      <c r="O77" s="322">
        <v>0</v>
      </c>
      <c r="P77" s="322">
        <v>100000</v>
      </c>
      <c r="Q77" s="322">
        <v>0</v>
      </c>
      <c r="R77" s="322">
        <v>0</v>
      </c>
      <c r="S77" s="322">
        <v>0</v>
      </c>
      <c r="T77" s="322">
        <v>0</v>
      </c>
      <c r="U77" s="322">
        <f>SUM(I77:T77)</f>
        <v>22510000</v>
      </c>
      <c r="V77" s="248">
        <f t="shared" si="24"/>
        <v>18293000</v>
      </c>
      <c r="W77" s="35"/>
      <c r="X77" s="247">
        <v>0</v>
      </c>
    </row>
    <row r="78" spans="2:24" ht="12.75">
      <c r="B78" s="91" t="s">
        <v>159</v>
      </c>
      <c r="C78" s="92" t="s">
        <v>12</v>
      </c>
      <c r="D78" s="93" t="s">
        <v>17</v>
      </c>
      <c r="E78" s="92"/>
      <c r="F78" s="94"/>
      <c r="G78" s="95" t="s">
        <v>248</v>
      </c>
      <c r="H78" s="231">
        <f>SUM(H79+H80)</f>
        <v>132089000</v>
      </c>
      <c r="I78" s="231">
        <f>SUM(I79+I80)</f>
        <v>6404862</v>
      </c>
      <c r="J78" s="231">
        <f aca="true" t="shared" si="26" ref="J78:S78">SUM(J79+J80)</f>
        <v>6416456</v>
      </c>
      <c r="K78" s="231">
        <f t="shared" si="26"/>
        <v>6399154</v>
      </c>
      <c r="L78" s="231">
        <f t="shared" si="26"/>
        <v>28997670</v>
      </c>
      <c r="M78" s="231">
        <f t="shared" si="26"/>
        <v>9221404</v>
      </c>
      <c r="N78" s="231">
        <f>SUM(N79+N80)</f>
        <v>6348615</v>
      </c>
      <c r="O78" s="231">
        <f t="shared" si="26"/>
        <v>8678614</v>
      </c>
      <c r="P78" s="231">
        <f t="shared" si="26"/>
        <v>29053543</v>
      </c>
      <c r="Q78" s="231">
        <f t="shared" si="26"/>
        <v>6329004</v>
      </c>
      <c r="R78" s="231">
        <f t="shared" si="26"/>
        <v>0</v>
      </c>
      <c r="S78" s="231">
        <f t="shared" si="26"/>
        <v>0</v>
      </c>
      <c r="T78" s="231">
        <f>SUM(T79+T80)</f>
        <v>0</v>
      </c>
      <c r="U78" s="231">
        <f>SUM(U79:U80)</f>
        <v>107849322</v>
      </c>
      <c r="V78" s="246">
        <f t="shared" si="24"/>
        <v>24239678</v>
      </c>
      <c r="W78" s="41">
        <f>SUM(W79:W80)</f>
        <v>0</v>
      </c>
      <c r="X78" s="247">
        <f aca="true" t="shared" si="27" ref="X78:X85">SUM(U78/H78)*100</f>
        <v>81.64898061155735</v>
      </c>
    </row>
    <row r="79" spans="2:24" ht="12.75">
      <c r="B79" s="91"/>
      <c r="C79" s="92"/>
      <c r="D79" s="93"/>
      <c r="E79" s="96" t="s">
        <v>14</v>
      </c>
      <c r="F79" s="97"/>
      <c r="G79" s="98" t="s">
        <v>249</v>
      </c>
      <c r="H79" s="322">
        <v>45800000</v>
      </c>
      <c r="I79" s="322">
        <v>0</v>
      </c>
      <c r="J79" s="322">
        <v>0</v>
      </c>
      <c r="K79" s="322">
        <v>0</v>
      </c>
      <c r="L79" s="322">
        <v>22722148</v>
      </c>
      <c r="M79" s="322">
        <v>0</v>
      </c>
      <c r="N79" s="322">
        <v>0</v>
      </c>
      <c r="O79" s="322">
        <v>0</v>
      </c>
      <c r="P79" s="322">
        <v>22722148</v>
      </c>
      <c r="Q79" s="322">
        <v>0</v>
      </c>
      <c r="R79" s="322">
        <v>0</v>
      </c>
      <c r="S79" s="322">
        <v>0</v>
      </c>
      <c r="T79" s="322">
        <v>0</v>
      </c>
      <c r="U79" s="322">
        <f>SUM(I79:T79)</f>
        <v>45444296</v>
      </c>
      <c r="V79" s="248">
        <f t="shared" si="24"/>
        <v>355704</v>
      </c>
      <c r="W79" s="35"/>
      <c r="X79" s="247">
        <f t="shared" si="27"/>
        <v>99.2233537117904</v>
      </c>
    </row>
    <row r="80" spans="2:24" ht="12.75">
      <c r="B80" s="91"/>
      <c r="C80" s="92"/>
      <c r="D80" s="93"/>
      <c r="E80" s="96" t="s">
        <v>17</v>
      </c>
      <c r="F80" s="97"/>
      <c r="G80" s="98" t="s">
        <v>250</v>
      </c>
      <c r="H80" s="322">
        <f>SUM(H81:H82)</f>
        <v>86289000</v>
      </c>
      <c r="I80" s="322">
        <f>SUM(I81:I82)</f>
        <v>6404862</v>
      </c>
      <c r="J80" s="322">
        <f aca="true" t="shared" si="28" ref="J80:S80">SUM(J81:J82)</f>
        <v>6416456</v>
      </c>
      <c r="K80" s="322">
        <f t="shared" si="28"/>
        <v>6399154</v>
      </c>
      <c r="L80" s="322">
        <f t="shared" si="28"/>
        <v>6275522</v>
      </c>
      <c r="M80" s="322">
        <f t="shared" si="28"/>
        <v>9221404</v>
      </c>
      <c r="N80" s="322">
        <f>SUM(N81:N82)</f>
        <v>6348615</v>
      </c>
      <c r="O80" s="322">
        <f t="shared" si="28"/>
        <v>8678614</v>
      </c>
      <c r="P80" s="322">
        <f t="shared" si="28"/>
        <v>6331395</v>
      </c>
      <c r="Q80" s="322">
        <f t="shared" si="28"/>
        <v>6329004</v>
      </c>
      <c r="R80" s="322">
        <f t="shared" si="28"/>
        <v>0</v>
      </c>
      <c r="S80" s="322">
        <f t="shared" si="28"/>
        <v>0</v>
      </c>
      <c r="T80" s="322">
        <f>SUM(T81:T82)</f>
        <v>0</v>
      </c>
      <c r="U80" s="322">
        <f>SUM(I80:T80)</f>
        <v>62405026</v>
      </c>
      <c r="V80" s="248">
        <f t="shared" si="24"/>
        <v>23883974</v>
      </c>
      <c r="W80" s="35">
        <v>0</v>
      </c>
      <c r="X80" s="247">
        <f t="shared" si="27"/>
        <v>72.32095168561462</v>
      </c>
    </row>
    <row r="81" spans="2:24" ht="12.75">
      <c r="B81" s="91"/>
      <c r="C81" s="92"/>
      <c r="D81" s="93"/>
      <c r="E81" s="96"/>
      <c r="F81" s="97" t="s">
        <v>14</v>
      </c>
      <c r="G81" s="98" t="s">
        <v>250</v>
      </c>
      <c r="H81" s="322">
        <v>46812000</v>
      </c>
      <c r="I81" s="322">
        <v>3820664</v>
      </c>
      <c r="J81" s="322">
        <v>3828673</v>
      </c>
      <c r="K81" s="322">
        <v>3818432</v>
      </c>
      <c r="L81" s="322">
        <v>3746009</v>
      </c>
      <c r="M81" s="322">
        <v>5481669</v>
      </c>
      <c r="N81" s="322">
        <v>3793548</v>
      </c>
      <c r="O81" s="322">
        <v>5460167</v>
      </c>
      <c r="P81" s="322">
        <v>3875985</v>
      </c>
      <c r="Q81" s="322">
        <v>3874693</v>
      </c>
      <c r="R81" s="322">
        <v>0</v>
      </c>
      <c r="S81" s="322">
        <v>0</v>
      </c>
      <c r="T81" s="322">
        <v>0</v>
      </c>
      <c r="U81" s="322">
        <f>SUM(I81:T81)</f>
        <v>37699840</v>
      </c>
      <c r="V81" s="248">
        <f t="shared" si="24"/>
        <v>9112160</v>
      </c>
      <c r="W81" s="35"/>
      <c r="X81" s="247">
        <f t="shared" si="27"/>
        <v>80.53456378706315</v>
      </c>
    </row>
    <row r="82" spans="2:24" ht="12.75">
      <c r="B82" s="91"/>
      <c r="C82" s="92"/>
      <c r="D82" s="93"/>
      <c r="E82" s="96"/>
      <c r="F82" s="97" t="s">
        <v>17</v>
      </c>
      <c r="G82" s="98" t="s">
        <v>530</v>
      </c>
      <c r="H82" s="322">
        <v>39477000</v>
      </c>
      <c r="I82" s="322">
        <v>2584198</v>
      </c>
      <c r="J82" s="322">
        <v>2587783</v>
      </c>
      <c r="K82" s="322">
        <v>2580722</v>
      </c>
      <c r="L82" s="322">
        <v>2529513</v>
      </c>
      <c r="M82" s="322">
        <v>3739735</v>
      </c>
      <c r="N82" s="322">
        <v>2555067</v>
      </c>
      <c r="O82" s="322">
        <v>3218447</v>
      </c>
      <c r="P82" s="322">
        <v>2455410</v>
      </c>
      <c r="Q82" s="322">
        <v>2454311</v>
      </c>
      <c r="R82" s="322">
        <v>0</v>
      </c>
      <c r="S82" s="322">
        <v>0</v>
      </c>
      <c r="T82" s="322">
        <v>0</v>
      </c>
      <c r="U82" s="322">
        <f>SUM(I82:T82)</f>
        <v>24705186</v>
      </c>
      <c r="V82" s="248">
        <f t="shared" si="24"/>
        <v>14771814</v>
      </c>
      <c r="W82" s="35"/>
      <c r="X82" s="247">
        <f t="shared" si="27"/>
        <v>62.58121437799225</v>
      </c>
    </row>
    <row r="83" spans="2:24" ht="12.75">
      <c r="B83" s="91" t="s">
        <v>159</v>
      </c>
      <c r="C83" s="92" t="s">
        <v>12</v>
      </c>
      <c r="D83" s="93" t="s">
        <v>22</v>
      </c>
      <c r="E83" s="92"/>
      <c r="F83" s="94"/>
      <c r="G83" s="95" t="s">
        <v>251</v>
      </c>
      <c r="H83" s="231">
        <f>SUM(H84+H87+H91)</f>
        <v>362147000</v>
      </c>
      <c r="I83" s="231">
        <f>SUM(I84+I87+I91)</f>
        <v>-14360</v>
      </c>
      <c r="J83" s="231">
        <f aca="true" t="shared" si="29" ref="J83:S83">SUM(J84+J87+J91)</f>
        <v>1725748</v>
      </c>
      <c r="K83" s="231">
        <f t="shared" si="29"/>
        <v>862874</v>
      </c>
      <c r="L83" s="231">
        <f t="shared" si="29"/>
        <v>862874</v>
      </c>
      <c r="M83" s="231">
        <f t="shared" si="29"/>
        <v>90084067</v>
      </c>
      <c r="N83" s="231">
        <f>SUM(N84+N87+N91)</f>
        <v>849327</v>
      </c>
      <c r="O83" s="231">
        <f t="shared" si="29"/>
        <v>89650635</v>
      </c>
      <c r="P83" s="231">
        <f t="shared" si="29"/>
        <v>969494</v>
      </c>
      <c r="Q83" s="231">
        <f t="shared" si="29"/>
        <v>862874</v>
      </c>
      <c r="R83" s="231">
        <f t="shared" si="29"/>
        <v>0</v>
      </c>
      <c r="S83" s="231">
        <f t="shared" si="29"/>
        <v>0</v>
      </c>
      <c r="T83" s="231">
        <f>SUM(T84+T87+T91)</f>
        <v>0</v>
      </c>
      <c r="U83" s="231">
        <f>SUM(U84+U87+U91)</f>
        <v>185853533</v>
      </c>
      <c r="V83" s="246">
        <f t="shared" si="24"/>
        <v>176293467</v>
      </c>
      <c r="W83" s="41">
        <f>SUM(W84+W87+W91)</f>
        <v>0</v>
      </c>
      <c r="X83" s="247">
        <f t="shared" si="27"/>
        <v>51.31991511734185</v>
      </c>
    </row>
    <row r="84" spans="2:24" ht="12.75">
      <c r="B84" s="91"/>
      <c r="C84" s="92"/>
      <c r="D84" s="93"/>
      <c r="E84" s="96" t="s">
        <v>14</v>
      </c>
      <c r="F84" s="97"/>
      <c r="G84" s="98" t="s">
        <v>252</v>
      </c>
      <c r="H84" s="225">
        <f>SUM(H85:H86)</f>
        <v>185636000</v>
      </c>
      <c r="I84" s="225">
        <f>SUM(I85:I86)</f>
        <v>0</v>
      </c>
      <c r="J84" s="225">
        <f aca="true" t="shared" si="30" ref="J84:S84">SUM(J85:J86)</f>
        <v>0</v>
      </c>
      <c r="K84" s="225">
        <f t="shared" si="30"/>
        <v>0</v>
      </c>
      <c r="L84" s="225">
        <f t="shared" si="30"/>
        <v>0</v>
      </c>
      <c r="M84" s="225">
        <f t="shared" si="30"/>
        <v>38420025</v>
      </c>
      <c r="N84" s="225">
        <f>SUM(N85:N86)</f>
        <v>0</v>
      </c>
      <c r="O84" s="225">
        <f t="shared" si="30"/>
        <v>38025018</v>
      </c>
      <c r="P84" s="225">
        <f t="shared" si="30"/>
        <v>46708</v>
      </c>
      <c r="Q84" s="225">
        <f t="shared" si="30"/>
        <v>0</v>
      </c>
      <c r="R84" s="225">
        <f t="shared" si="30"/>
        <v>0</v>
      </c>
      <c r="S84" s="225">
        <f t="shared" si="30"/>
        <v>0</v>
      </c>
      <c r="T84" s="225">
        <f>SUM(T85:T86)</f>
        <v>0</v>
      </c>
      <c r="U84" s="225">
        <f>SUM(U85:U86)</f>
        <v>76491751</v>
      </c>
      <c r="V84" s="246">
        <f t="shared" si="24"/>
        <v>109144249</v>
      </c>
      <c r="W84" s="37">
        <f>SUM(W85:W86)</f>
        <v>0</v>
      </c>
      <c r="X84" s="247">
        <f t="shared" si="27"/>
        <v>41.2052355146631</v>
      </c>
    </row>
    <row r="85" spans="2:24" ht="24">
      <c r="B85" s="91"/>
      <c r="C85" s="92"/>
      <c r="D85" s="93"/>
      <c r="E85" s="96"/>
      <c r="F85" s="97" t="s">
        <v>14</v>
      </c>
      <c r="G85" s="99" t="s">
        <v>253</v>
      </c>
      <c r="H85" s="322">
        <v>159901000</v>
      </c>
      <c r="I85" s="322">
        <v>0</v>
      </c>
      <c r="J85" s="322">
        <v>0</v>
      </c>
      <c r="K85" s="322">
        <v>0</v>
      </c>
      <c r="L85" s="322">
        <v>0</v>
      </c>
      <c r="M85" s="322">
        <v>38420025</v>
      </c>
      <c r="N85" s="322">
        <v>0</v>
      </c>
      <c r="O85" s="322">
        <v>38025018</v>
      </c>
      <c r="P85" s="322">
        <v>46708</v>
      </c>
      <c r="Q85" s="322">
        <v>0</v>
      </c>
      <c r="R85" s="322">
        <v>0</v>
      </c>
      <c r="S85" s="322">
        <v>0</v>
      </c>
      <c r="T85" s="322">
        <v>0</v>
      </c>
      <c r="U85" s="322">
        <f aca="true" t="shared" si="31" ref="U85:U104">SUM(I85:T85)</f>
        <v>76491751</v>
      </c>
      <c r="V85" s="248">
        <f t="shared" si="24"/>
        <v>83409249</v>
      </c>
      <c r="W85" s="35"/>
      <c r="X85" s="247">
        <f t="shared" si="27"/>
        <v>47.836943483780594</v>
      </c>
    </row>
    <row r="86" spans="2:24" ht="12.75">
      <c r="B86" s="91"/>
      <c r="C86" s="92"/>
      <c r="D86" s="93"/>
      <c r="E86" s="96"/>
      <c r="F86" s="97" t="s">
        <v>30</v>
      </c>
      <c r="G86" s="98" t="s">
        <v>531</v>
      </c>
      <c r="H86" s="322">
        <v>25735000</v>
      </c>
      <c r="I86" s="322">
        <v>0</v>
      </c>
      <c r="J86" s="322">
        <v>0</v>
      </c>
      <c r="K86" s="322">
        <v>0</v>
      </c>
      <c r="L86" s="322">
        <v>0</v>
      </c>
      <c r="M86" s="322">
        <v>0</v>
      </c>
      <c r="N86" s="322">
        <v>0</v>
      </c>
      <c r="O86" s="322">
        <v>0</v>
      </c>
      <c r="P86" s="322">
        <v>0</v>
      </c>
      <c r="Q86" s="322">
        <v>0</v>
      </c>
      <c r="R86" s="322">
        <v>0</v>
      </c>
      <c r="S86" s="322">
        <v>0</v>
      </c>
      <c r="T86" s="322">
        <v>0</v>
      </c>
      <c r="U86" s="322">
        <f t="shared" si="31"/>
        <v>0</v>
      </c>
      <c r="V86" s="248">
        <f t="shared" si="24"/>
        <v>25735000</v>
      </c>
      <c r="W86" s="35"/>
      <c r="X86" s="247">
        <v>0</v>
      </c>
    </row>
    <row r="87" spans="2:24" ht="12.75">
      <c r="B87" s="91"/>
      <c r="C87" s="92"/>
      <c r="D87" s="93"/>
      <c r="E87" s="96" t="s">
        <v>17</v>
      </c>
      <c r="F87" s="97"/>
      <c r="G87" s="98" t="s">
        <v>255</v>
      </c>
      <c r="H87" s="225">
        <f>SUM(H88:H90)</f>
        <v>172210000</v>
      </c>
      <c r="I87" s="225">
        <f>SUM(I88:I90)</f>
        <v>0</v>
      </c>
      <c r="J87" s="225">
        <f aca="true" t="shared" si="32" ref="J87:S87">SUM(J88:J90)</f>
        <v>0</v>
      </c>
      <c r="K87" s="225">
        <f t="shared" si="32"/>
        <v>0</v>
      </c>
      <c r="L87" s="225">
        <f t="shared" si="32"/>
        <v>0</v>
      </c>
      <c r="M87" s="225">
        <f t="shared" si="32"/>
        <v>50801168</v>
      </c>
      <c r="N87" s="225">
        <f>SUM(N88:N90)</f>
        <v>0</v>
      </c>
      <c r="O87" s="225">
        <f t="shared" si="32"/>
        <v>50762743</v>
      </c>
      <c r="P87" s="225">
        <f t="shared" si="32"/>
        <v>59912</v>
      </c>
      <c r="Q87" s="225">
        <f t="shared" si="32"/>
        <v>0</v>
      </c>
      <c r="R87" s="225">
        <f t="shared" si="32"/>
        <v>0</v>
      </c>
      <c r="S87" s="225">
        <f t="shared" si="32"/>
        <v>0</v>
      </c>
      <c r="T87" s="225">
        <f>SUM(T88:T90)</f>
        <v>0</v>
      </c>
      <c r="U87" s="225">
        <f>SUM(U88:U90)</f>
        <v>101623823</v>
      </c>
      <c r="V87" s="246">
        <f t="shared" si="24"/>
        <v>70586177</v>
      </c>
      <c r="W87" s="37">
        <f>SUM(W88:W90)</f>
        <v>0</v>
      </c>
      <c r="X87" s="247">
        <f>SUM(U87/H87)*100</f>
        <v>59.01156901457523</v>
      </c>
    </row>
    <row r="88" spans="2:24" ht="24">
      <c r="B88" s="91"/>
      <c r="C88" s="92"/>
      <c r="D88" s="93"/>
      <c r="E88" s="96"/>
      <c r="F88" s="97" t="s">
        <v>14</v>
      </c>
      <c r="G88" s="99" t="s">
        <v>253</v>
      </c>
      <c r="H88" s="322">
        <v>142445000</v>
      </c>
      <c r="I88" s="322">
        <v>0</v>
      </c>
      <c r="J88" s="322">
        <v>0</v>
      </c>
      <c r="K88" s="322">
        <v>0</v>
      </c>
      <c r="L88" s="322">
        <v>0</v>
      </c>
      <c r="M88" s="322">
        <v>50801168</v>
      </c>
      <c r="N88" s="322">
        <v>0</v>
      </c>
      <c r="O88" s="322">
        <v>50762743</v>
      </c>
      <c r="P88" s="322">
        <v>59912</v>
      </c>
      <c r="Q88" s="322">
        <v>0</v>
      </c>
      <c r="R88" s="322">
        <v>0</v>
      </c>
      <c r="S88" s="322">
        <v>0</v>
      </c>
      <c r="T88" s="322">
        <v>0</v>
      </c>
      <c r="U88" s="322">
        <f t="shared" si="31"/>
        <v>101623823</v>
      </c>
      <c r="V88" s="248">
        <f t="shared" si="24"/>
        <v>40821177</v>
      </c>
      <c r="W88" s="35"/>
      <c r="X88" s="247">
        <f>SUM(U88/H88)*100</f>
        <v>71.34249921022149</v>
      </c>
    </row>
    <row r="89" spans="2:24" ht="12.75">
      <c r="B89" s="91"/>
      <c r="C89" s="92"/>
      <c r="D89" s="93"/>
      <c r="E89" s="96"/>
      <c r="F89" s="97" t="s">
        <v>30</v>
      </c>
      <c r="G89" s="98" t="s">
        <v>537</v>
      </c>
      <c r="H89" s="322">
        <v>29765000</v>
      </c>
      <c r="I89" s="322">
        <v>0</v>
      </c>
      <c r="J89" s="322">
        <v>0</v>
      </c>
      <c r="K89" s="322">
        <v>0</v>
      </c>
      <c r="L89" s="322">
        <v>0</v>
      </c>
      <c r="M89" s="322">
        <v>0</v>
      </c>
      <c r="N89" s="322">
        <v>0</v>
      </c>
      <c r="O89" s="322">
        <v>0</v>
      </c>
      <c r="P89" s="322">
        <v>0</v>
      </c>
      <c r="Q89" s="322">
        <v>0</v>
      </c>
      <c r="R89" s="322">
        <v>0</v>
      </c>
      <c r="S89" s="322">
        <v>0</v>
      </c>
      <c r="T89" s="322">
        <v>0</v>
      </c>
      <c r="U89" s="322">
        <f t="shared" si="31"/>
        <v>0</v>
      </c>
      <c r="V89" s="248">
        <f t="shared" si="24"/>
        <v>29765000</v>
      </c>
      <c r="W89" s="35"/>
      <c r="X89" s="247">
        <v>0</v>
      </c>
    </row>
    <row r="90" spans="2:24" ht="24" hidden="1">
      <c r="B90" s="91"/>
      <c r="C90" s="92"/>
      <c r="D90" s="93"/>
      <c r="E90" s="96"/>
      <c r="F90" s="97" t="s">
        <v>22</v>
      </c>
      <c r="G90" s="99" t="s">
        <v>257</v>
      </c>
      <c r="H90" s="322">
        <v>0</v>
      </c>
      <c r="I90" s="322">
        <v>0</v>
      </c>
      <c r="J90" s="322">
        <v>0</v>
      </c>
      <c r="K90" s="322">
        <v>0</v>
      </c>
      <c r="L90" s="322">
        <v>0</v>
      </c>
      <c r="M90" s="322">
        <v>0</v>
      </c>
      <c r="N90" s="322">
        <v>0</v>
      </c>
      <c r="O90" s="322">
        <v>0</v>
      </c>
      <c r="P90" s="322">
        <v>0</v>
      </c>
      <c r="Q90" s="322">
        <v>0</v>
      </c>
      <c r="R90" s="322">
        <v>0</v>
      </c>
      <c r="S90" s="322">
        <v>0</v>
      </c>
      <c r="T90" s="322">
        <v>0</v>
      </c>
      <c r="U90" s="322">
        <f t="shared" si="31"/>
        <v>0</v>
      </c>
      <c r="V90" s="248">
        <f t="shared" si="24"/>
        <v>0</v>
      </c>
      <c r="W90" s="35"/>
      <c r="X90" s="247">
        <v>0</v>
      </c>
    </row>
    <row r="91" spans="2:24" ht="12.75">
      <c r="B91" s="91"/>
      <c r="C91" s="92"/>
      <c r="D91" s="93"/>
      <c r="E91" s="96" t="s">
        <v>22</v>
      </c>
      <c r="F91" s="97"/>
      <c r="G91" s="98" t="s">
        <v>258</v>
      </c>
      <c r="H91" s="225">
        <f>SUM(H92:H96)</f>
        <v>4301000</v>
      </c>
      <c r="I91" s="225">
        <f>SUM(I92:I96)</f>
        <v>-14360</v>
      </c>
      <c r="J91" s="225">
        <f aca="true" t="shared" si="33" ref="J91:S91">SUM(J92:J96)</f>
        <v>1725748</v>
      </c>
      <c r="K91" s="225">
        <f t="shared" si="33"/>
        <v>862874</v>
      </c>
      <c r="L91" s="225">
        <f t="shared" si="33"/>
        <v>862874</v>
      </c>
      <c r="M91" s="225">
        <f t="shared" si="33"/>
        <v>862874</v>
      </c>
      <c r="N91" s="225">
        <f>SUM(N92:N96)</f>
        <v>849327</v>
      </c>
      <c r="O91" s="225">
        <f t="shared" si="33"/>
        <v>862874</v>
      </c>
      <c r="P91" s="225">
        <f t="shared" si="33"/>
        <v>862874</v>
      </c>
      <c r="Q91" s="225">
        <f t="shared" si="33"/>
        <v>862874</v>
      </c>
      <c r="R91" s="225">
        <f t="shared" si="33"/>
        <v>0</v>
      </c>
      <c r="S91" s="225">
        <f t="shared" si="33"/>
        <v>0</v>
      </c>
      <c r="T91" s="225">
        <f>SUM(T92:T96)</f>
        <v>0</v>
      </c>
      <c r="U91" s="225">
        <f>SUM(U92:U96)</f>
        <v>7737959</v>
      </c>
      <c r="V91" s="246">
        <f t="shared" si="24"/>
        <v>-3436959</v>
      </c>
      <c r="W91" s="37">
        <f>SUM(W92:W96)</f>
        <v>0</v>
      </c>
      <c r="X91" s="247">
        <f>SUM(U91/H91)*100</f>
        <v>179.91069518716577</v>
      </c>
    </row>
    <row r="92" spans="2:24" ht="24">
      <c r="B92" s="91"/>
      <c r="C92" s="92"/>
      <c r="D92" s="93"/>
      <c r="E92" s="96"/>
      <c r="F92" s="97" t="s">
        <v>14</v>
      </c>
      <c r="G92" s="108" t="s">
        <v>253</v>
      </c>
      <c r="H92" s="322">
        <v>0</v>
      </c>
      <c r="I92" s="322">
        <v>0</v>
      </c>
      <c r="J92" s="322">
        <v>0</v>
      </c>
      <c r="K92" s="322">
        <v>0</v>
      </c>
      <c r="L92" s="322">
        <v>0</v>
      </c>
      <c r="M92" s="322">
        <v>0</v>
      </c>
      <c r="N92" s="322">
        <v>0</v>
      </c>
      <c r="O92" s="322">
        <v>0</v>
      </c>
      <c r="P92" s="322">
        <v>0</v>
      </c>
      <c r="Q92" s="322">
        <v>0</v>
      </c>
      <c r="R92" s="322">
        <v>0</v>
      </c>
      <c r="S92" s="322">
        <v>0</v>
      </c>
      <c r="T92" s="322">
        <v>0</v>
      </c>
      <c r="U92" s="322">
        <f t="shared" si="31"/>
        <v>0</v>
      </c>
      <c r="V92" s="248">
        <f t="shared" si="24"/>
        <v>0</v>
      </c>
      <c r="W92" s="35"/>
      <c r="X92" s="247">
        <v>0</v>
      </c>
    </row>
    <row r="93" spans="2:24" ht="24">
      <c r="B93" s="109"/>
      <c r="C93" s="110"/>
      <c r="D93" s="111"/>
      <c r="E93" s="106"/>
      <c r="F93" s="112" t="s">
        <v>17</v>
      </c>
      <c r="G93" s="108" t="s">
        <v>259</v>
      </c>
      <c r="H93" s="322">
        <v>4301000</v>
      </c>
      <c r="I93" s="322">
        <v>-14360</v>
      </c>
      <c r="J93" s="322">
        <v>1725748</v>
      </c>
      <c r="K93" s="322">
        <v>862874</v>
      </c>
      <c r="L93" s="322">
        <v>862874</v>
      </c>
      <c r="M93" s="322">
        <v>862874</v>
      </c>
      <c r="N93" s="322">
        <v>849327</v>
      </c>
      <c r="O93" s="322">
        <v>862874</v>
      </c>
      <c r="P93" s="322">
        <v>862874</v>
      </c>
      <c r="Q93" s="322">
        <v>862874</v>
      </c>
      <c r="R93" s="322">
        <v>0</v>
      </c>
      <c r="S93" s="322">
        <v>0</v>
      </c>
      <c r="T93" s="322">
        <v>0</v>
      </c>
      <c r="U93" s="322">
        <f t="shared" si="31"/>
        <v>7737959</v>
      </c>
      <c r="V93" s="248">
        <f t="shared" si="24"/>
        <v>-3436959</v>
      </c>
      <c r="W93" s="35"/>
      <c r="X93" s="247">
        <f>SUM(U93/H93)*100</f>
        <v>179.91069518716577</v>
      </c>
    </row>
    <row r="94" spans="2:24" ht="12.75" hidden="1">
      <c r="B94" s="109"/>
      <c r="C94" s="110"/>
      <c r="D94" s="111"/>
      <c r="E94" s="106"/>
      <c r="F94" s="112" t="s">
        <v>22</v>
      </c>
      <c r="G94" s="107" t="s">
        <v>260</v>
      </c>
      <c r="H94" s="322">
        <v>0</v>
      </c>
      <c r="I94" s="322">
        <v>0</v>
      </c>
      <c r="J94" s="322">
        <v>0</v>
      </c>
      <c r="K94" s="322">
        <v>0</v>
      </c>
      <c r="L94" s="322">
        <v>0</v>
      </c>
      <c r="M94" s="322">
        <v>0</v>
      </c>
      <c r="N94" s="322">
        <v>0</v>
      </c>
      <c r="O94" s="322">
        <v>0</v>
      </c>
      <c r="P94" s="322">
        <v>0</v>
      </c>
      <c r="Q94" s="322">
        <v>0</v>
      </c>
      <c r="R94" s="322">
        <v>0</v>
      </c>
      <c r="S94" s="322">
        <v>0</v>
      </c>
      <c r="T94" s="322">
        <v>0</v>
      </c>
      <c r="U94" s="322">
        <f t="shared" si="31"/>
        <v>0</v>
      </c>
      <c r="V94" s="248">
        <f t="shared" si="24"/>
        <v>0</v>
      </c>
      <c r="W94" s="35"/>
      <c r="X94" s="247">
        <v>0</v>
      </c>
    </row>
    <row r="95" spans="2:24" ht="12.75" hidden="1">
      <c r="B95" s="109"/>
      <c r="C95" s="110"/>
      <c r="D95" s="111"/>
      <c r="E95" s="106"/>
      <c r="F95" s="112" t="s">
        <v>28</v>
      </c>
      <c r="G95" s="107" t="s">
        <v>261</v>
      </c>
      <c r="H95" s="322">
        <v>0</v>
      </c>
      <c r="I95" s="322">
        <v>0</v>
      </c>
      <c r="J95" s="322">
        <v>0</v>
      </c>
      <c r="K95" s="322">
        <v>0</v>
      </c>
      <c r="L95" s="322">
        <v>0</v>
      </c>
      <c r="M95" s="322">
        <v>0</v>
      </c>
      <c r="N95" s="322">
        <v>0</v>
      </c>
      <c r="O95" s="322">
        <v>0</v>
      </c>
      <c r="P95" s="322">
        <v>0</v>
      </c>
      <c r="Q95" s="322">
        <v>0</v>
      </c>
      <c r="R95" s="322">
        <v>0</v>
      </c>
      <c r="S95" s="322">
        <v>0</v>
      </c>
      <c r="T95" s="322">
        <v>0</v>
      </c>
      <c r="U95" s="322">
        <f t="shared" si="31"/>
        <v>0</v>
      </c>
      <c r="V95" s="248">
        <f t="shared" si="24"/>
        <v>0</v>
      </c>
      <c r="W95" s="35"/>
      <c r="X95" s="247">
        <v>0</v>
      </c>
    </row>
    <row r="96" spans="2:24" ht="24" hidden="1">
      <c r="B96" s="109"/>
      <c r="C96" s="110"/>
      <c r="D96" s="111"/>
      <c r="E96" s="106"/>
      <c r="F96" s="112" t="s">
        <v>54</v>
      </c>
      <c r="G96" s="108" t="s">
        <v>262</v>
      </c>
      <c r="H96" s="322">
        <v>0</v>
      </c>
      <c r="I96" s="322">
        <v>0</v>
      </c>
      <c r="J96" s="322">
        <v>0</v>
      </c>
      <c r="K96" s="322">
        <v>0</v>
      </c>
      <c r="L96" s="322">
        <v>0</v>
      </c>
      <c r="M96" s="322">
        <v>0</v>
      </c>
      <c r="N96" s="322">
        <v>0</v>
      </c>
      <c r="O96" s="322">
        <v>0</v>
      </c>
      <c r="P96" s="322">
        <v>0</v>
      </c>
      <c r="Q96" s="322">
        <v>0</v>
      </c>
      <c r="R96" s="322">
        <v>0</v>
      </c>
      <c r="S96" s="322">
        <v>0</v>
      </c>
      <c r="T96" s="322">
        <v>0</v>
      </c>
      <c r="U96" s="322">
        <f t="shared" si="31"/>
        <v>0</v>
      </c>
      <c r="V96" s="248">
        <f t="shared" si="24"/>
        <v>0</v>
      </c>
      <c r="W96" s="35"/>
      <c r="X96" s="247">
        <v>0</v>
      </c>
    </row>
    <row r="97" spans="2:24" ht="12.75">
      <c r="B97" s="91" t="s">
        <v>159</v>
      </c>
      <c r="C97" s="92" t="s">
        <v>12</v>
      </c>
      <c r="D97" s="93" t="s">
        <v>28</v>
      </c>
      <c r="E97" s="92"/>
      <c r="F97" s="94"/>
      <c r="G97" s="95" t="s">
        <v>263</v>
      </c>
      <c r="H97" s="231">
        <f>SUM(H98:H104)</f>
        <v>177000000</v>
      </c>
      <c r="I97" s="231">
        <f>SUM(I98:I104)</f>
        <v>14170113</v>
      </c>
      <c r="J97" s="231">
        <f aca="true" t="shared" si="34" ref="J97:S97">SUM(J98:J104)</f>
        <v>12671728</v>
      </c>
      <c r="K97" s="231">
        <f t="shared" si="34"/>
        <v>9199849</v>
      </c>
      <c r="L97" s="231">
        <f t="shared" si="34"/>
        <v>25994999</v>
      </c>
      <c r="M97" s="231">
        <f t="shared" si="34"/>
        <v>17565407</v>
      </c>
      <c r="N97" s="231">
        <f>SUM(N98:N104)</f>
        <v>15072924</v>
      </c>
      <c r="O97" s="231">
        <f t="shared" si="34"/>
        <v>16247825</v>
      </c>
      <c r="P97" s="231">
        <f t="shared" si="34"/>
        <v>13914068</v>
      </c>
      <c r="Q97" s="231">
        <f t="shared" si="34"/>
        <v>16378333</v>
      </c>
      <c r="R97" s="231">
        <f t="shared" si="34"/>
        <v>0</v>
      </c>
      <c r="S97" s="231">
        <f t="shared" si="34"/>
        <v>0</v>
      </c>
      <c r="T97" s="231">
        <f>SUM(T98:T104)</f>
        <v>0</v>
      </c>
      <c r="U97" s="231">
        <f>SUM(U98:U104)</f>
        <v>141215246</v>
      </c>
      <c r="V97" s="246">
        <f t="shared" si="24"/>
        <v>35784754</v>
      </c>
      <c r="W97" s="41">
        <f>SUM(W98:W104)</f>
        <v>0</v>
      </c>
      <c r="X97" s="247">
        <f aca="true" t="shared" si="35" ref="X97:X116">SUM(U97/H97)*100</f>
        <v>79.78262485875706</v>
      </c>
    </row>
    <row r="98" spans="2:24" ht="12.75" hidden="1">
      <c r="B98" s="91"/>
      <c r="C98" s="92"/>
      <c r="D98" s="93"/>
      <c r="E98" s="96" t="s">
        <v>14</v>
      </c>
      <c r="F98" s="94"/>
      <c r="G98" s="98" t="s">
        <v>264</v>
      </c>
      <c r="H98" s="322"/>
      <c r="I98" s="322"/>
      <c r="J98" s="322"/>
      <c r="K98" s="322"/>
      <c r="L98" s="322"/>
      <c r="M98" s="322"/>
      <c r="N98" s="322"/>
      <c r="O98" s="322"/>
      <c r="P98" s="322"/>
      <c r="Q98" s="322"/>
      <c r="R98" s="322"/>
      <c r="S98" s="322"/>
      <c r="T98" s="322"/>
      <c r="U98" s="322">
        <f t="shared" si="31"/>
        <v>0</v>
      </c>
      <c r="V98" s="248">
        <f t="shared" si="24"/>
        <v>0</v>
      </c>
      <c r="W98" s="35"/>
      <c r="X98" s="249" t="e">
        <f t="shared" si="35"/>
        <v>#DIV/0!</v>
      </c>
    </row>
    <row r="99" spans="2:24" ht="12.75" hidden="1">
      <c r="B99" s="91"/>
      <c r="C99" s="92"/>
      <c r="D99" s="93"/>
      <c r="E99" s="96" t="s">
        <v>17</v>
      </c>
      <c r="F99" s="94"/>
      <c r="G99" s="98" t="s">
        <v>265</v>
      </c>
      <c r="H99" s="322"/>
      <c r="I99" s="322"/>
      <c r="J99" s="322"/>
      <c r="K99" s="322"/>
      <c r="L99" s="322"/>
      <c r="M99" s="322"/>
      <c r="N99" s="322"/>
      <c r="O99" s="322"/>
      <c r="P99" s="322"/>
      <c r="Q99" s="322"/>
      <c r="R99" s="322"/>
      <c r="S99" s="322"/>
      <c r="T99" s="322"/>
      <c r="U99" s="322">
        <f t="shared" si="31"/>
        <v>0</v>
      </c>
      <c r="V99" s="248">
        <f t="shared" si="24"/>
        <v>0</v>
      </c>
      <c r="W99" s="35"/>
      <c r="X99" s="249" t="e">
        <f t="shared" si="35"/>
        <v>#DIV/0!</v>
      </c>
    </row>
    <row r="100" spans="2:24" ht="12.75" hidden="1">
      <c r="B100" s="91"/>
      <c r="C100" s="92"/>
      <c r="D100" s="93"/>
      <c r="E100" s="96" t="s">
        <v>22</v>
      </c>
      <c r="F100" s="94"/>
      <c r="G100" s="98" t="s">
        <v>266</v>
      </c>
      <c r="H100" s="322"/>
      <c r="I100" s="322"/>
      <c r="J100" s="322"/>
      <c r="K100" s="322"/>
      <c r="L100" s="322"/>
      <c r="M100" s="322"/>
      <c r="N100" s="322"/>
      <c r="O100" s="322"/>
      <c r="P100" s="322"/>
      <c r="Q100" s="322"/>
      <c r="R100" s="322"/>
      <c r="S100" s="322"/>
      <c r="T100" s="322"/>
      <c r="U100" s="322">
        <f t="shared" si="31"/>
        <v>0</v>
      </c>
      <c r="V100" s="248">
        <f t="shared" si="24"/>
        <v>0</v>
      </c>
      <c r="W100" s="35"/>
      <c r="X100" s="249" t="e">
        <f t="shared" si="35"/>
        <v>#DIV/0!</v>
      </c>
    </row>
    <row r="101" spans="2:24" ht="12.75" hidden="1">
      <c r="B101" s="91"/>
      <c r="C101" s="92"/>
      <c r="D101" s="93"/>
      <c r="E101" s="96" t="s">
        <v>28</v>
      </c>
      <c r="F101" s="94"/>
      <c r="G101" s="98" t="s">
        <v>267</v>
      </c>
      <c r="H101" s="322"/>
      <c r="I101" s="322"/>
      <c r="J101" s="322"/>
      <c r="K101" s="322"/>
      <c r="L101" s="322"/>
      <c r="M101" s="322"/>
      <c r="N101" s="322"/>
      <c r="O101" s="322"/>
      <c r="P101" s="322"/>
      <c r="Q101" s="322"/>
      <c r="R101" s="322"/>
      <c r="S101" s="322"/>
      <c r="T101" s="322"/>
      <c r="U101" s="322">
        <f t="shared" si="31"/>
        <v>0</v>
      </c>
      <c r="V101" s="248">
        <f t="shared" si="24"/>
        <v>0</v>
      </c>
      <c r="W101" s="35"/>
      <c r="X101" s="249" t="e">
        <f t="shared" si="35"/>
        <v>#DIV/0!</v>
      </c>
    </row>
    <row r="102" spans="2:24" ht="12.75">
      <c r="B102" s="91"/>
      <c r="C102" s="92"/>
      <c r="D102" s="93"/>
      <c r="E102" s="96" t="s">
        <v>54</v>
      </c>
      <c r="F102" s="97"/>
      <c r="G102" s="98" t="s">
        <v>268</v>
      </c>
      <c r="H102" s="322">
        <v>160000000</v>
      </c>
      <c r="I102" s="322">
        <v>12920639</v>
      </c>
      <c r="J102" s="322">
        <v>11793324</v>
      </c>
      <c r="K102" s="322">
        <v>8911769</v>
      </c>
      <c r="L102" s="322">
        <v>23378683</v>
      </c>
      <c r="M102" s="322">
        <v>15554578</v>
      </c>
      <c r="N102" s="322">
        <v>13916644</v>
      </c>
      <c r="O102" s="322">
        <v>14936365</v>
      </c>
      <c r="P102" s="322">
        <v>11546760</v>
      </c>
      <c r="Q102" s="322">
        <v>15377385</v>
      </c>
      <c r="R102" s="322">
        <v>0</v>
      </c>
      <c r="S102" s="322">
        <v>0</v>
      </c>
      <c r="T102" s="322">
        <v>0</v>
      </c>
      <c r="U102" s="322">
        <f t="shared" si="31"/>
        <v>128336147</v>
      </c>
      <c r="V102" s="248">
        <f t="shared" si="24"/>
        <v>31663853</v>
      </c>
      <c r="W102" s="35">
        <v>0</v>
      </c>
      <c r="X102" s="250">
        <f t="shared" si="35"/>
        <v>80.210091875</v>
      </c>
    </row>
    <row r="103" spans="2:24" ht="12.75">
      <c r="B103" s="91"/>
      <c r="C103" s="92"/>
      <c r="D103" s="93"/>
      <c r="E103" s="96" t="s">
        <v>57</v>
      </c>
      <c r="F103" s="97"/>
      <c r="G103" s="98" t="s">
        <v>269</v>
      </c>
      <c r="H103" s="322">
        <v>14000000</v>
      </c>
      <c r="I103" s="322">
        <v>1249474</v>
      </c>
      <c r="J103" s="322">
        <v>878404</v>
      </c>
      <c r="K103" s="322">
        <v>288080</v>
      </c>
      <c r="L103" s="322">
        <v>2616316</v>
      </c>
      <c r="M103" s="322">
        <v>2010829</v>
      </c>
      <c r="N103" s="322">
        <v>1156280</v>
      </c>
      <c r="O103" s="322">
        <v>1311460</v>
      </c>
      <c r="P103" s="322">
        <v>2367308</v>
      </c>
      <c r="Q103" s="322">
        <v>1000948</v>
      </c>
      <c r="R103" s="322">
        <v>0</v>
      </c>
      <c r="S103" s="322">
        <v>0</v>
      </c>
      <c r="T103" s="322">
        <v>0</v>
      </c>
      <c r="U103" s="322">
        <f t="shared" si="31"/>
        <v>12879099</v>
      </c>
      <c r="V103" s="248">
        <f t="shared" si="24"/>
        <v>1120901</v>
      </c>
      <c r="W103" s="35">
        <v>0</v>
      </c>
      <c r="X103" s="250">
        <f t="shared" si="35"/>
        <v>91.99356428571429</v>
      </c>
    </row>
    <row r="104" spans="2:24" ht="12.75">
      <c r="B104" s="91"/>
      <c r="C104" s="92"/>
      <c r="D104" s="93"/>
      <c r="E104" s="96" t="s">
        <v>61</v>
      </c>
      <c r="F104" s="97"/>
      <c r="G104" s="98" t="s">
        <v>270</v>
      </c>
      <c r="H104" s="322">
        <v>3000000</v>
      </c>
      <c r="I104" s="322">
        <v>0</v>
      </c>
      <c r="J104" s="322">
        <v>0</v>
      </c>
      <c r="K104" s="322">
        <v>0</v>
      </c>
      <c r="L104" s="322">
        <v>0</v>
      </c>
      <c r="M104" s="322">
        <v>0</v>
      </c>
      <c r="N104" s="322">
        <v>0</v>
      </c>
      <c r="O104" s="322">
        <v>0</v>
      </c>
      <c r="P104" s="322">
        <v>0</v>
      </c>
      <c r="Q104" s="322">
        <v>0</v>
      </c>
      <c r="R104" s="322">
        <v>0</v>
      </c>
      <c r="S104" s="322">
        <v>0</v>
      </c>
      <c r="T104" s="322">
        <v>0</v>
      </c>
      <c r="U104" s="322">
        <f t="shared" si="31"/>
        <v>0</v>
      </c>
      <c r="V104" s="248">
        <f t="shared" si="24"/>
        <v>3000000</v>
      </c>
      <c r="W104" s="35"/>
      <c r="X104" s="250">
        <f t="shared" si="35"/>
        <v>0</v>
      </c>
    </row>
    <row r="105" spans="2:24" ht="12.75">
      <c r="B105" s="91" t="s">
        <v>159</v>
      </c>
      <c r="C105" s="92" t="s">
        <v>12</v>
      </c>
      <c r="D105" s="93" t="s">
        <v>54</v>
      </c>
      <c r="E105" s="92"/>
      <c r="F105" s="94"/>
      <c r="G105" s="95" t="s">
        <v>271</v>
      </c>
      <c r="H105" s="231">
        <f>SUM(H106+H109+H110+H112)</f>
        <v>55586000</v>
      </c>
      <c r="I105" s="231">
        <f>SUM(I106+I109+I110+I112)</f>
        <v>0</v>
      </c>
      <c r="J105" s="231">
        <f aca="true" t="shared" si="36" ref="J105:S105">SUM(J106+J109+J110+J112)</f>
        <v>0</v>
      </c>
      <c r="K105" s="231">
        <f t="shared" si="36"/>
        <v>7070941</v>
      </c>
      <c r="L105" s="231">
        <f t="shared" si="36"/>
        <v>0</v>
      </c>
      <c r="M105" s="231">
        <f t="shared" si="36"/>
        <v>0</v>
      </c>
      <c r="N105" s="231">
        <f>SUM(N106+N109+N110+N112)</f>
        <v>5466322</v>
      </c>
      <c r="O105" s="231">
        <f t="shared" si="36"/>
        <v>0</v>
      </c>
      <c r="P105" s="231">
        <f t="shared" si="36"/>
        <v>49396</v>
      </c>
      <c r="Q105" s="231">
        <f t="shared" si="36"/>
        <v>13913062</v>
      </c>
      <c r="R105" s="231">
        <f t="shared" si="36"/>
        <v>0</v>
      </c>
      <c r="S105" s="231">
        <f t="shared" si="36"/>
        <v>0</v>
      </c>
      <c r="T105" s="231">
        <f>SUM(T106+T109+T110+T112)</f>
        <v>0</v>
      </c>
      <c r="U105" s="231">
        <f>SUM(U106+U109+U110+U112)</f>
        <v>26499721</v>
      </c>
      <c r="V105" s="246">
        <f t="shared" si="24"/>
        <v>29086279</v>
      </c>
      <c r="W105" s="41">
        <f>SUM(W106+W109+W110+W112)</f>
        <v>0</v>
      </c>
      <c r="X105" s="247">
        <f t="shared" si="35"/>
        <v>47.67337279171014</v>
      </c>
    </row>
    <row r="106" spans="2:24" ht="12.75">
      <c r="B106" s="91"/>
      <c r="C106" s="92"/>
      <c r="D106" s="93"/>
      <c r="E106" s="96" t="s">
        <v>14</v>
      </c>
      <c r="F106" s="97"/>
      <c r="G106" s="98" t="s">
        <v>272</v>
      </c>
      <c r="H106" s="225">
        <f>SUM(H107:H108)</f>
        <v>26033000</v>
      </c>
      <c r="I106" s="225">
        <f>SUM(I107:I108)</f>
        <v>0</v>
      </c>
      <c r="J106" s="225">
        <f aca="true" t="shared" si="37" ref="J106:S106">SUM(J107:J108)</f>
        <v>0</v>
      </c>
      <c r="K106" s="225">
        <f t="shared" si="37"/>
        <v>0</v>
      </c>
      <c r="L106" s="225">
        <f t="shared" si="37"/>
        <v>0</v>
      </c>
      <c r="M106" s="225">
        <f t="shared" si="37"/>
        <v>0</v>
      </c>
      <c r="N106" s="225">
        <f>SUM(N107:N108)</f>
        <v>0</v>
      </c>
      <c r="O106" s="225">
        <f t="shared" si="37"/>
        <v>0</v>
      </c>
      <c r="P106" s="225">
        <f t="shared" si="37"/>
        <v>49396</v>
      </c>
      <c r="Q106" s="225">
        <f t="shared" si="37"/>
        <v>13913062</v>
      </c>
      <c r="R106" s="225">
        <f t="shared" si="37"/>
        <v>0</v>
      </c>
      <c r="S106" s="225">
        <f t="shared" si="37"/>
        <v>0</v>
      </c>
      <c r="T106" s="225">
        <f>SUM(T107:T108)</f>
        <v>0</v>
      </c>
      <c r="U106" s="225">
        <f>SUM(U107:U108)</f>
        <v>13962458</v>
      </c>
      <c r="V106" s="246">
        <f aca="true" t="shared" si="38" ref="V106:V137">H106-U106</f>
        <v>12070542</v>
      </c>
      <c r="W106" s="37">
        <f>SUM(W107:W108)</f>
        <v>0</v>
      </c>
      <c r="X106" s="247">
        <f t="shared" si="35"/>
        <v>53.63368801137018</v>
      </c>
    </row>
    <row r="107" spans="2:24" ht="12.75">
      <c r="B107" s="109"/>
      <c r="C107" s="110"/>
      <c r="D107" s="93"/>
      <c r="E107" s="96"/>
      <c r="F107" s="97" t="s">
        <v>14</v>
      </c>
      <c r="G107" s="98" t="s">
        <v>273</v>
      </c>
      <c r="H107" s="322">
        <v>15033000</v>
      </c>
      <c r="I107" s="322">
        <v>0</v>
      </c>
      <c r="J107" s="322">
        <v>0</v>
      </c>
      <c r="K107" s="322">
        <v>0</v>
      </c>
      <c r="L107" s="322">
        <v>0</v>
      </c>
      <c r="M107" s="322">
        <v>0</v>
      </c>
      <c r="N107" s="322">
        <v>0</v>
      </c>
      <c r="O107" s="322">
        <v>0</v>
      </c>
      <c r="P107" s="322">
        <v>0</v>
      </c>
      <c r="Q107" s="322">
        <v>13913062</v>
      </c>
      <c r="R107" s="322">
        <v>0</v>
      </c>
      <c r="S107" s="322">
        <v>0</v>
      </c>
      <c r="T107" s="322">
        <v>0</v>
      </c>
      <c r="U107" s="322">
        <f aca="true" t="shared" si="39" ref="U107:U112">SUM(I107:T107)</f>
        <v>13913062</v>
      </c>
      <c r="V107" s="248">
        <f t="shared" si="38"/>
        <v>1119938</v>
      </c>
      <c r="W107" s="35"/>
      <c r="X107" s="247">
        <f t="shared" si="35"/>
        <v>92.55013636666001</v>
      </c>
    </row>
    <row r="108" spans="2:24" ht="12.75">
      <c r="B108" s="109"/>
      <c r="C108" s="110"/>
      <c r="D108" s="93"/>
      <c r="E108" s="96"/>
      <c r="F108" s="97" t="s">
        <v>17</v>
      </c>
      <c r="G108" s="98" t="s">
        <v>274</v>
      </c>
      <c r="H108" s="322">
        <v>11000000</v>
      </c>
      <c r="I108" s="322">
        <v>0</v>
      </c>
      <c r="J108" s="322">
        <v>0</v>
      </c>
      <c r="K108" s="322">
        <v>0</v>
      </c>
      <c r="L108" s="322">
        <v>0</v>
      </c>
      <c r="M108" s="322">
        <v>0</v>
      </c>
      <c r="N108" s="322">
        <v>0</v>
      </c>
      <c r="O108" s="322">
        <v>0</v>
      </c>
      <c r="P108" s="322">
        <v>49396</v>
      </c>
      <c r="Q108" s="322">
        <v>0</v>
      </c>
      <c r="R108" s="322">
        <v>0</v>
      </c>
      <c r="S108" s="322">
        <v>0</v>
      </c>
      <c r="T108" s="322">
        <v>0</v>
      </c>
      <c r="U108" s="322">
        <f t="shared" si="39"/>
        <v>49396</v>
      </c>
      <c r="V108" s="248">
        <f t="shared" si="38"/>
        <v>10950604</v>
      </c>
      <c r="W108" s="35"/>
      <c r="X108" s="247">
        <f t="shared" si="35"/>
        <v>0.44905454545454543</v>
      </c>
    </row>
    <row r="109" spans="2:24" ht="12.75">
      <c r="B109" s="91"/>
      <c r="C109" s="92"/>
      <c r="D109" s="93"/>
      <c r="E109" s="96" t="s">
        <v>17</v>
      </c>
      <c r="F109" s="97"/>
      <c r="G109" s="98" t="s">
        <v>275</v>
      </c>
      <c r="H109" s="322">
        <v>9753000</v>
      </c>
      <c r="I109" s="322">
        <v>0</v>
      </c>
      <c r="J109" s="322">
        <v>0</v>
      </c>
      <c r="K109" s="322">
        <v>4484170</v>
      </c>
      <c r="L109" s="322">
        <v>0</v>
      </c>
      <c r="M109" s="322">
        <v>0</v>
      </c>
      <c r="N109" s="322">
        <v>5257290</v>
      </c>
      <c r="O109" s="322">
        <v>0</v>
      </c>
      <c r="P109" s="322">
        <v>0</v>
      </c>
      <c r="Q109" s="322">
        <v>0</v>
      </c>
      <c r="R109" s="322">
        <v>0</v>
      </c>
      <c r="S109" s="322">
        <v>0</v>
      </c>
      <c r="T109" s="322">
        <v>0</v>
      </c>
      <c r="U109" s="322">
        <f t="shared" si="39"/>
        <v>9741460</v>
      </c>
      <c r="V109" s="248">
        <f t="shared" si="38"/>
        <v>11540</v>
      </c>
      <c r="W109" s="35">
        <v>0</v>
      </c>
      <c r="X109" s="247">
        <f t="shared" si="35"/>
        <v>99.88167743258485</v>
      </c>
    </row>
    <row r="110" spans="2:24" ht="12.75">
      <c r="B110" s="91"/>
      <c r="C110" s="92"/>
      <c r="D110" s="93"/>
      <c r="E110" s="96" t="s">
        <v>22</v>
      </c>
      <c r="F110" s="97"/>
      <c r="G110" s="98" t="s">
        <v>276</v>
      </c>
      <c r="H110" s="225">
        <f aca="true" t="shared" si="40" ref="H110:W110">SUM(H111)</f>
        <v>16000000</v>
      </c>
      <c r="I110" s="225">
        <f t="shared" si="40"/>
        <v>0</v>
      </c>
      <c r="J110" s="225">
        <f t="shared" si="40"/>
        <v>0</v>
      </c>
      <c r="K110" s="225">
        <f t="shared" si="40"/>
        <v>0</v>
      </c>
      <c r="L110" s="225">
        <f t="shared" si="40"/>
        <v>0</v>
      </c>
      <c r="M110" s="225">
        <f t="shared" si="40"/>
        <v>0</v>
      </c>
      <c r="N110" s="225">
        <f t="shared" si="40"/>
        <v>0</v>
      </c>
      <c r="O110" s="225">
        <f t="shared" si="40"/>
        <v>0</v>
      </c>
      <c r="P110" s="225">
        <f t="shared" si="40"/>
        <v>0</v>
      </c>
      <c r="Q110" s="225">
        <f t="shared" si="40"/>
        <v>0</v>
      </c>
      <c r="R110" s="225">
        <f t="shared" si="40"/>
        <v>0</v>
      </c>
      <c r="S110" s="225">
        <f t="shared" si="40"/>
        <v>0</v>
      </c>
      <c r="T110" s="225">
        <f t="shared" si="40"/>
        <v>0</v>
      </c>
      <c r="U110" s="225">
        <f t="shared" si="40"/>
        <v>0</v>
      </c>
      <c r="V110" s="246">
        <f t="shared" si="38"/>
        <v>16000000</v>
      </c>
      <c r="W110" s="37">
        <f t="shared" si="40"/>
        <v>0</v>
      </c>
      <c r="X110" s="247">
        <f t="shared" si="35"/>
        <v>0</v>
      </c>
    </row>
    <row r="111" spans="2:24" ht="12.75">
      <c r="B111" s="91"/>
      <c r="C111" s="92"/>
      <c r="D111" s="93"/>
      <c r="E111" s="96"/>
      <c r="F111" s="97" t="s">
        <v>14</v>
      </c>
      <c r="G111" s="98" t="s">
        <v>277</v>
      </c>
      <c r="H111" s="322">
        <v>16000000</v>
      </c>
      <c r="I111" s="322">
        <v>0</v>
      </c>
      <c r="J111" s="322">
        <v>0</v>
      </c>
      <c r="K111" s="322">
        <v>0</v>
      </c>
      <c r="L111" s="322">
        <v>0</v>
      </c>
      <c r="M111" s="322">
        <v>0</v>
      </c>
      <c r="N111" s="322">
        <v>0</v>
      </c>
      <c r="O111" s="322">
        <v>0</v>
      </c>
      <c r="P111" s="322">
        <v>0</v>
      </c>
      <c r="Q111" s="322">
        <v>0</v>
      </c>
      <c r="R111" s="322">
        <v>0</v>
      </c>
      <c r="S111" s="322">
        <v>0</v>
      </c>
      <c r="T111" s="322">
        <v>0</v>
      </c>
      <c r="U111" s="322">
        <f t="shared" si="39"/>
        <v>0</v>
      </c>
      <c r="V111" s="248">
        <f t="shared" si="38"/>
        <v>16000000</v>
      </c>
      <c r="W111" s="35"/>
      <c r="X111" s="247">
        <f t="shared" si="35"/>
        <v>0</v>
      </c>
    </row>
    <row r="112" spans="2:24" ht="12.75">
      <c r="B112" s="91"/>
      <c r="C112" s="92"/>
      <c r="D112" s="93"/>
      <c r="E112" s="96" t="s">
        <v>28</v>
      </c>
      <c r="F112" s="97"/>
      <c r="G112" s="98" t="s">
        <v>278</v>
      </c>
      <c r="H112" s="322">
        <v>3800000</v>
      </c>
      <c r="I112" s="322">
        <v>0</v>
      </c>
      <c r="J112" s="322">
        <v>0</v>
      </c>
      <c r="K112" s="322">
        <v>2586771</v>
      </c>
      <c r="L112" s="322">
        <v>0</v>
      </c>
      <c r="M112" s="322">
        <v>0</v>
      </c>
      <c r="N112" s="322">
        <v>209032</v>
      </c>
      <c r="O112" s="322">
        <v>0</v>
      </c>
      <c r="P112" s="322">
        <v>0</v>
      </c>
      <c r="Q112" s="322">
        <v>0</v>
      </c>
      <c r="R112" s="322">
        <v>0</v>
      </c>
      <c r="S112" s="322">
        <v>0</v>
      </c>
      <c r="T112" s="322">
        <v>0</v>
      </c>
      <c r="U112" s="322">
        <f t="shared" si="39"/>
        <v>2795803</v>
      </c>
      <c r="V112" s="248">
        <f t="shared" si="38"/>
        <v>1004197</v>
      </c>
      <c r="W112" s="35">
        <v>0</v>
      </c>
      <c r="X112" s="247">
        <f t="shared" si="35"/>
        <v>73.57376315789473</v>
      </c>
    </row>
    <row r="113" spans="2:24" ht="12.75">
      <c r="B113" s="86" t="s">
        <v>159</v>
      </c>
      <c r="C113" s="87" t="s">
        <v>35</v>
      </c>
      <c r="D113" s="88"/>
      <c r="E113" s="87"/>
      <c r="F113" s="89"/>
      <c r="G113" s="90" t="s">
        <v>279</v>
      </c>
      <c r="H113" s="226">
        <f>SUM(H114+H156+H162+H175+H183)</f>
        <v>1135771000</v>
      </c>
      <c r="I113" s="226">
        <f>SUM(I114+I156+I162+I175+I183)</f>
        <v>83416929</v>
      </c>
      <c r="J113" s="226">
        <f aca="true" t="shared" si="41" ref="J113:S113">SUM(J114+J156+J162+J175+J183)</f>
        <v>72066854</v>
      </c>
      <c r="K113" s="226">
        <f t="shared" si="41"/>
        <v>74053269</v>
      </c>
      <c r="L113" s="226">
        <f t="shared" si="41"/>
        <v>80423453</v>
      </c>
      <c r="M113" s="226">
        <f t="shared" si="41"/>
        <v>117052317</v>
      </c>
      <c r="N113" s="226">
        <f>SUM(N114+N156+N162+N175+N183)</f>
        <v>71901071</v>
      </c>
      <c r="O113" s="226">
        <f t="shared" si="41"/>
        <v>119371455</v>
      </c>
      <c r="P113" s="226">
        <f t="shared" si="41"/>
        <v>74009539</v>
      </c>
      <c r="Q113" s="226">
        <f t="shared" si="41"/>
        <v>70002009</v>
      </c>
      <c r="R113" s="226">
        <f t="shared" si="41"/>
        <v>0</v>
      </c>
      <c r="S113" s="226">
        <f t="shared" si="41"/>
        <v>0</v>
      </c>
      <c r="T113" s="226">
        <f>SUM(T114+T156+T162+T175+T183)</f>
        <v>0</v>
      </c>
      <c r="U113" s="226">
        <f>SUM(U114+U156+U162+U175+U183)</f>
        <v>762296896</v>
      </c>
      <c r="V113" s="243">
        <f t="shared" si="38"/>
        <v>373474104</v>
      </c>
      <c r="W113" s="241">
        <f>SUM(W114+W156+W162+W175+W183)</f>
        <v>0</v>
      </c>
      <c r="X113" s="245">
        <f t="shared" si="35"/>
        <v>67.1171297735195</v>
      </c>
    </row>
    <row r="114" spans="2:24" ht="12.75">
      <c r="B114" s="91" t="s">
        <v>159</v>
      </c>
      <c r="C114" s="92" t="s">
        <v>35</v>
      </c>
      <c r="D114" s="93" t="s">
        <v>14</v>
      </c>
      <c r="E114" s="92"/>
      <c r="F114" s="94"/>
      <c r="G114" s="95" t="s">
        <v>162</v>
      </c>
      <c r="H114" s="231">
        <f>SUM(H115+H116+H119+H120+H124+H127+H130+H139+H141+H143+H152+H155)</f>
        <v>931880000</v>
      </c>
      <c r="I114" s="231">
        <f>SUM(I115+I116+I119+I120+I124+I127+I130+I139+I141+I143+I152+I155)</f>
        <v>76608314</v>
      </c>
      <c r="J114" s="231">
        <f aca="true" t="shared" si="42" ref="J114:S114">SUM(J115+J116+J119+J120+J124+J127+J130+J139+J141+J143+J152+J155)</f>
        <v>67394639</v>
      </c>
      <c r="K114" s="231">
        <f t="shared" si="42"/>
        <v>67028339</v>
      </c>
      <c r="L114" s="231">
        <f t="shared" si="42"/>
        <v>67461690</v>
      </c>
      <c r="M114" s="231">
        <f t="shared" si="42"/>
        <v>83355241</v>
      </c>
      <c r="N114" s="231">
        <f>SUM(N115+N116+N119+N120+N124+N127+N130+N139+N141+N143+N152+N155)</f>
        <v>65211302</v>
      </c>
      <c r="O114" s="231">
        <f t="shared" si="42"/>
        <v>86465512</v>
      </c>
      <c r="P114" s="231">
        <f t="shared" si="42"/>
        <v>60983931</v>
      </c>
      <c r="Q114" s="231">
        <f t="shared" si="42"/>
        <v>59584230</v>
      </c>
      <c r="R114" s="231">
        <f t="shared" si="42"/>
        <v>0</v>
      </c>
      <c r="S114" s="231">
        <f t="shared" si="42"/>
        <v>0</v>
      </c>
      <c r="T114" s="231">
        <f>SUM(T115+T116+T119+T120+T124+T127+T130+T139+T141+T143+T152+T155)</f>
        <v>0</v>
      </c>
      <c r="U114" s="231">
        <f>SUM(U115+U116+U119+U120+U124+U127+U130+U139+U141+U143+U152+U155)</f>
        <v>634093198</v>
      </c>
      <c r="V114" s="246">
        <f t="shared" si="38"/>
        <v>297786802</v>
      </c>
      <c r="W114" s="41">
        <f>SUM(W115+W116+W119+W120+W124+W127+W130+W139+W141+W143+W152+W155)</f>
        <v>0</v>
      </c>
      <c r="X114" s="247">
        <f t="shared" si="35"/>
        <v>68.04451195432888</v>
      </c>
    </row>
    <row r="115" spans="2:24" ht="12.75">
      <c r="B115" s="91"/>
      <c r="C115" s="92"/>
      <c r="D115" s="93"/>
      <c r="E115" s="96" t="s">
        <v>14</v>
      </c>
      <c r="F115" s="97"/>
      <c r="G115" s="98" t="s">
        <v>163</v>
      </c>
      <c r="H115" s="322">
        <v>306295000</v>
      </c>
      <c r="I115" s="322">
        <v>25045503</v>
      </c>
      <c r="J115" s="322">
        <v>25080019</v>
      </c>
      <c r="K115" s="322">
        <v>24971440</v>
      </c>
      <c r="L115" s="322">
        <v>25093551</v>
      </c>
      <c r="M115" s="322">
        <v>23648880</v>
      </c>
      <c r="N115" s="322">
        <v>24626365</v>
      </c>
      <c r="O115" s="322">
        <v>24978821</v>
      </c>
      <c r="P115" s="322">
        <v>23031449</v>
      </c>
      <c r="Q115" s="322">
        <v>22470588</v>
      </c>
      <c r="R115" s="322">
        <v>0</v>
      </c>
      <c r="S115" s="322">
        <v>0</v>
      </c>
      <c r="T115" s="322">
        <v>0</v>
      </c>
      <c r="U115" s="322">
        <f>SUM(I115:T115)</f>
        <v>218946616</v>
      </c>
      <c r="V115" s="248">
        <f t="shared" si="38"/>
        <v>87348384</v>
      </c>
      <c r="W115" s="35">
        <v>0</v>
      </c>
      <c r="X115" s="247">
        <f t="shared" si="35"/>
        <v>71.48226905434304</v>
      </c>
    </row>
    <row r="116" spans="2:24" ht="12.75">
      <c r="B116" s="91"/>
      <c r="C116" s="92"/>
      <c r="D116" s="93"/>
      <c r="E116" s="96" t="s">
        <v>17</v>
      </c>
      <c r="F116" s="97"/>
      <c r="G116" s="98" t="s">
        <v>164</v>
      </c>
      <c r="H116" s="225">
        <f>SUM(H117:H118)</f>
        <v>9996000</v>
      </c>
      <c r="I116" s="225">
        <f>SUM(I117:I118)</f>
        <v>809793</v>
      </c>
      <c r="J116" s="225">
        <f aca="true" t="shared" si="43" ref="J116:S116">SUM(J117:J118)</f>
        <v>839820</v>
      </c>
      <c r="K116" s="225">
        <f t="shared" si="43"/>
        <v>843591</v>
      </c>
      <c r="L116" s="225">
        <f t="shared" si="43"/>
        <v>853756</v>
      </c>
      <c r="M116" s="225">
        <f t="shared" si="43"/>
        <v>836081</v>
      </c>
      <c r="N116" s="225">
        <f>SUM(N117:N118)</f>
        <v>860068</v>
      </c>
      <c r="O116" s="225">
        <f t="shared" si="43"/>
        <v>844034</v>
      </c>
      <c r="P116" s="225">
        <f t="shared" si="43"/>
        <v>742890</v>
      </c>
      <c r="Q116" s="225">
        <f t="shared" si="43"/>
        <v>716689</v>
      </c>
      <c r="R116" s="225">
        <f t="shared" si="43"/>
        <v>0</v>
      </c>
      <c r="S116" s="225">
        <f t="shared" si="43"/>
        <v>0</v>
      </c>
      <c r="T116" s="225">
        <f>SUM(T117:T118)</f>
        <v>0</v>
      </c>
      <c r="U116" s="225">
        <f>SUM(U117:U118)</f>
        <v>7346722</v>
      </c>
      <c r="V116" s="246">
        <f t="shared" si="38"/>
        <v>2649278</v>
      </c>
      <c r="W116" s="37">
        <f>SUM(W117:W118)</f>
        <v>0</v>
      </c>
      <c r="X116" s="247">
        <f t="shared" si="35"/>
        <v>73.49661864745899</v>
      </c>
    </row>
    <row r="117" spans="2:24" ht="12.75" hidden="1">
      <c r="B117" s="91"/>
      <c r="C117" s="92"/>
      <c r="D117" s="93"/>
      <c r="E117" s="96"/>
      <c r="F117" s="97" t="s">
        <v>14</v>
      </c>
      <c r="G117" s="98" t="s">
        <v>165</v>
      </c>
      <c r="H117" s="322">
        <v>0</v>
      </c>
      <c r="I117" s="322">
        <v>0</v>
      </c>
      <c r="J117" s="322">
        <v>0</v>
      </c>
      <c r="K117" s="322">
        <v>0</v>
      </c>
      <c r="L117" s="322">
        <v>0</v>
      </c>
      <c r="M117" s="322">
        <v>0</v>
      </c>
      <c r="N117" s="322">
        <v>0</v>
      </c>
      <c r="O117" s="322">
        <v>0</v>
      </c>
      <c r="P117" s="322">
        <v>0</v>
      </c>
      <c r="Q117" s="322">
        <v>0</v>
      </c>
      <c r="R117" s="322">
        <v>0</v>
      </c>
      <c r="S117" s="322">
        <v>0</v>
      </c>
      <c r="T117" s="322">
        <v>0</v>
      </c>
      <c r="U117" s="322">
        <f>SUM(I117:T117)</f>
        <v>0</v>
      </c>
      <c r="V117" s="248">
        <f t="shared" si="38"/>
        <v>0</v>
      </c>
      <c r="W117" s="35"/>
      <c r="X117" s="247">
        <v>0</v>
      </c>
    </row>
    <row r="118" spans="2:24" ht="25.5" customHeight="1">
      <c r="B118" s="91"/>
      <c r="C118" s="92"/>
      <c r="D118" s="93"/>
      <c r="E118" s="96"/>
      <c r="F118" s="97" t="s">
        <v>17</v>
      </c>
      <c r="G118" s="99" t="s">
        <v>166</v>
      </c>
      <c r="H118" s="322">
        <v>9996000</v>
      </c>
      <c r="I118" s="322">
        <v>809793</v>
      </c>
      <c r="J118" s="322">
        <v>839820</v>
      </c>
      <c r="K118" s="322">
        <v>843591</v>
      </c>
      <c r="L118" s="322">
        <v>853756</v>
      </c>
      <c r="M118" s="322">
        <v>836081</v>
      </c>
      <c r="N118" s="322">
        <v>860068</v>
      </c>
      <c r="O118" s="322">
        <v>844034</v>
      </c>
      <c r="P118" s="322">
        <v>742890</v>
      </c>
      <c r="Q118" s="322">
        <v>716689</v>
      </c>
      <c r="R118" s="322">
        <v>0</v>
      </c>
      <c r="S118" s="322">
        <v>0</v>
      </c>
      <c r="T118" s="322">
        <v>0</v>
      </c>
      <c r="U118" s="322">
        <f>SUM(I118:T118)</f>
        <v>7346722</v>
      </c>
      <c r="V118" s="248">
        <f t="shared" si="38"/>
        <v>2649278</v>
      </c>
      <c r="W118" s="35"/>
      <c r="X118" s="247">
        <f>SUM(U118/H118)*100</f>
        <v>73.49661864745899</v>
      </c>
    </row>
    <row r="119" spans="2:24" ht="12.75" hidden="1">
      <c r="B119" s="91"/>
      <c r="C119" s="92"/>
      <c r="D119" s="93"/>
      <c r="E119" s="96" t="s">
        <v>22</v>
      </c>
      <c r="F119" s="97"/>
      <c r="G119" s="98" t="s">
        <v>168</v>
      </c>
      <c r="H119" s="322">
        <v>0</v>
      </c>
      <c r="I119" s="322">
        <v>0</v>
      </c>
      <c r="J119" s="322">
        <v>0</v>
      </c>
      <c r="K119" s="322">
        <v>0</v>
      </c>
      <c r="L119" s="322">
        <v>0</v>
      </c>
      <c r="M119" s="322">
        <v>0</v>
      </c>
      <c r="N119" s="322">
        <v>0</v>
      </c>
      <c r="O119" s="322">
        <v>0</v>
      </c>
      <c r="P119" s="322">
        <v>0</v>
      </c>
      <c r="Q119" s="322">
        <v>0</v>
      </c>
      <c r="R119" s="322">
        <v>0</v>
      </c>
      <c r="S119" s="322">
        <v>0</v>
      </c>
      <c r="T119" s="322">
        <v>0</v>
      </c>
      <c r="U119" s="322">
        <f>SUM(I119:T119)</f>
        <v>0</v>
      </c>
      <c r="V119" s="248">
        <f t="shared" si="38"/>
        <v>0</v>
      </c>
      <c r="W119" s="35"/>
      <c r="X119" s="247">
        <v>0</v>
      </c>
    </row>
    <row r="120" spans="2:24" ht="12.75" hidden="1">
      <c r="B120" s="91"/>
      <c r="C120" s="92"/>
      <c r="D120" s="93"/>
      <c r="E120" s="96" t="s">
        <v>28</v>
      </c>
      <c r="F120" s="97"/>
      <c r="G120" s="98" t="s">
        <v>170</v>
      </c>
      <c r="H120" s="225">
        <f>SUM(H121:H123)</f>
        <v>0</v>
      </c>
      <c r="I120" s="225">
        <f>SUM(I121:I123)</f>
        <v>0</v>
      </c>
      <c r="J120" s="225">
        <f aca="true" t="shared" si="44" ref="J120:S120">SUM(J121:J123)</f>
        <v>0</v>
      </c>
      <c r="K120" s="225">
        <f t="shared" si="44"/>
        <v>0</v>
      </c>
      <c r="L120" s="225">
        <f t="shared" si="44"/>
        <v>0</v>
      </c>
      <c r="M120" s="225">
        <f t="shared" si="44"/>
        <v>0</v>
      </c>
      <c r="N120" s="225">
        <f>SUM(N121:N123)</f>
        <v>0</v>
      </c>
      <c r="O120" s="225">
        <f t="shared" si="44"/>
        <v>0</v>
      </c>
      <c r="P120" s="225">
        <f t="shared" si="44"/>
        <v>0</v>
      </c>
      <c r="Q120" s="225">
        <f t="shared" si="44"/>
        <v>0</v>
      </c>
      <c r="R120" s="225">
        <f t="shared" si="44"/>
        <v>0</v>
      </c>
      <c r="S120" s="225">
        <f t="shared" si="44"/>
        <v>0</v>
      </c>
      <c r="T120" s="225">
        <f>SUM(T121:T123)</f>
        <v>0</v>
      </c>
      <c r="U120" s="225">
        <f>SUM(U121:U123)</f>
        <v>0</v>
      </c>
      <c r="V120" s="246">
        <f t="shared" si="38"/>
        <v>0</v>
      </c>
      <c r="W120" s="37">
        <f>SUM(W121:W123)</f>
        <v>0</v>
      </c>
      <c r="X120" s="247">
        <v>0</v>
      </c>
    </row>
    <row r="121" spans="2:24" ht="12.75" hidden="1">
      <c r="B121" s="91"/>
      <c r="C121" s="92"/>
      <c r="D121" s="93"/>
      <c r="E121" s="96"/>
      <c r="F121" s="97" t="s">
        <v>14</v>
      </c>
      <c r="G121" s="98" t="s">
        <v>171</v>
      </c>
      <c r="H121" s="322"/>
      <c r="I121" s="322"/>
      <c r="J121" s="322"/>
      <c r="K121" s="322"/>
      <c r="L121" s="322"/>
      <c r="M121" s="322"/>
      <c r="N121" s="322"/>
      <c r="O121" s="322"/>
      <c r="P121" s="322"/>
      <c r="Q121" s="322"/>
      <c r="R121" s="322"/>
      <c r="S121" s="322"/>
      <c r="T121" s="322"/>
      <c r="U121" s="322">
        <f>SUM(I121:T121)</f>
        <v>0</v>
      </c>
      <c r="V121" s="248">
        <f t="shared" si="38"/>
        <v>0</v>
      </c>
      <c r="W121" s="35"/>
      <c r="X121" s="249" t="e">
        <f>SUM(U121/H121)*100</f>
        <v>#DIV/0!</v>
      </c>
    </row>
    <row r="122" spans="2:24" ht="12.75" hidden="1">
      <c r="B122" s="91"/>
      <c r="C122" s="92"/>
      <c r="D122" s="93"/>
      <c r="E122" s="96"/>
      <c r="F122" s="97" t="s">
        <v>17</v>
      </c>
      <c r="G122" s="98" t="s">
        <v>172</v>
      </c>
      <c r="H122" s="322"/>
      <c r="I122" s="322"/>
      <c r="J122" s="322"/>
      <c r="K122" s="322"/>
      <c r="L122" s="322"/>
      <c r="M122" s="322"/>
      <c r="N122" s="322"/>
      <c r="O122" s="322"/>
      <c r="P122" s="322"/>
      <c r="Q122" s="322"/>
      <c r="R122" s="322"/>
      <c r="S122" s="322"/>
      <c r="T122" s="322"/>
      <c r="U122" s="322">
        <f>SUM(I122:T122)</f>
        <v>0</v>
      </c>
      <c r="V122" s="248">
        <f t="shared" si="38"/>
        <v>0</v>
      </c>
      <c r="W122" s="35"/>
      <c r="X122" s="249" t="e">
        <f>SUM(U122/H122)*100</f>
        <v>#DIV/0!</v>
      </c>
    </row>
    <row r="123" spans="2:24" ht="12.75" hidden="1">
      <c r="B123" s="91"/>
      <c r="C123" s="92"/>
      <c r="D123" s="93"/>
      <c r="E123" s="96"/>
      <c r="F123" s="97" t="s">
        <v>22</v>
      </c>
      <c r="G123" s="98" t="s">
        <v>174</v>
      </c>
      <c r="H123" s="322"/>
      <c r="I123" s="322"/>
      <c r="J123" s="322"/>
      <c r="K123" s="322"/>
      <c r="L123" s="322"/>
      <c r="M123" s="322"/>
      <c r="N123" s="322"/>
      <c r="O123" s="322"/>
      <c r="P123" s="322"/>
      <c r="Q123" s="322"/>
      <c r="R123" s="322"/>
      <c r="S123" s="322"/>
      <c r="T123" s="322"/>
      <c r="U123" s="322">
        <f>SUM(I123:T123)</f>
        <v>0</v>
      </c>
      <c r="V123" s="248">
        <f t="shared" si="38"/>
        <v>0</v>
      </c>
      <c r="W123" s="35"/>
      <c r="X123" s="249" t="e">
        <f>SUM(U123/H123)*100</f>
        <v>#DIV/0!</v>
      </c>
    </row>
    <row r="124" spans="2:24" ht="12.75">
      <c r="B124" s="91"/>
      <c r="C124" s="92"/>
      <c r="D124" s="93"/>
      <c r="E124" s="96" t="s">
        <v>61</v>
      </c>
      <c r="F124" s="97"/>
      <c r="G124" s="98" t="s">
        <v>280</v>
      </c>
      <c r="H124" s="225">
        <f>SUM(H125:H126)</f>
        <v>278343000</v>
      </c>
      <c r="I124" s="225">
        <f>SUM(I125:I126)</f>
        <v>22794491</v>
      </c>
      <c r="J124" s="225">
        <f aca="true" t="shared" si="45" ref="J124:S124">SUM(J125:J126)</f>
        <v>22521520</v>
      </c>
      <c r="K124" s="225">
        <f t="shared" si="45"/>
        <v>22340734</v>
      </c>
      <c r="L124" s="225">
        <f t="shared" si="45"/>
        <v>22573455</v>
      </c>
      <c r="M124" s="225">
        <f t="shared" si="45"/>
        <v>20337776</v>
      </c>
      <c r="N124" s="225">
        <f>SUM(N125:N126)</f>
        <v>21267331</v>
      </c>
      <c r="O124" s="225">
        <f t="shared" si="45"/>
        <v>21776956</v>
      </c>
      <c r="P124" s="225">
        <f t="shared" si="45"/>
        <v>20135505</v>
      </c>
      <c r="Q124" s="225">
        <f t="shared" si="45"/>
        <v>19764410</v>
      </c>
      <c r="R124" s="225">
        <f t="shared" si="45"/>
        <v>0</v>
      </c>
      <c r="S124" s="225">
        <f t="shared" si="45"/>
        <v>0</v>
      </c>
      <c r="T124" s="225">
        <f>SUM(T125:T126)</f>
        <v>0</v>
      </c>
      <c r="U124" s="225">
        <f>SUM(U125:U126)</f>
        <v>193512178</v>
      </c>
      <c r="V124" s="246">
        <f t="shared" si="38"/>
        <v>84830822</v>
      </c>
      <c r="W124" s="37">
        <f>SUM(W125:W126)</f>
        <v>0</v>
      </c>
      <c r="X124" s="247">
        <f>SUM(U124/H124)*100</f>
        <v>69.52291884473473</v>
      </c>
    </row>
    <row r="125" spans="2:24" ht="12.75">
      <c r="B125" s="91"/>
      <c r="C125" s="92"/>
      <c r="D125" s="93"/>
      <c r="E125" s="96"/>
      <c r="F125" s="97" t="s">
        <v>14</v>
      </c>
      <c r="G125" s="98" t="s">
        <v>176</v>
      </c>
      <c r="H125" s="322">
        <v>278343000</v>
      </c>
      <c r="I125" s="322">
        <v>22794491</v>
      </c>
      <c r="J125" s="322">
        <v>22521520</v>
      </c>
      <c r="K125" s="322">
        <v>22340734</v>
      </c>
      <c r="L125" s="322">
        <v>22573455</v>
      </c>
      <c r="M125" s="322">
        <v>20337776</v>
      </c>
      <c r="N125" s="322">
        <v>21267331</v>
      </c>
      <c r="O125" s="322">
        <v>21776956</v>
      </c>
      <c r="P125" s="322">
        <v>20135505</v>
      </c>
      <c r="Q125" s="322">
        <v>19764410</v>
      </c>
      <c r="R125" s="322">
        <v>0</v>
      </c>
      <c r="S125" s="322">
        <v>0</v>
      </c>
      <c r="T125" s="322">
        <v>0</v>
      </c>
      <c r="U125" s="322">
        <f>SUM(I125:T125)</f>
        <v>193512178</v>
      </c>
      <c r="V125" s="248">
        <f t="shared" si="38"/>
        <v>84830822</v>
      </c>
      <c r="W125" s="35">
        <v>0</v>
      </c>
      <c r="X125" s="247">
        <f>SUM(U125/H125)*100</f>
        <v>69.52291884473473</v>
      </c>
    </row>
    <row r="126" spans="2:24" ht="12.75" hidden="1">
      <c r="B126" s="91"/>
      <c r="C126" s="92"/>
      <c r="D126" s="93"/>
      <c r="E126" s="96"/>
      <c r="F126" s="97" t="s">
        <v>17</v>
      </c>
      <c r="G126" s="98" t="s">
        <v>281</v>
      </c>
      <c r="H126" s="322"/>
      <c r="I126" s="322"/>
      <c r="J126" s="322"/>
      <c r="K126" s="322"/>
      <c r="L126" s="322"/>
      <c r="M126" s="322"/>
      <c r="N126" s="322"/>
      <c r="O126" s="322"/>
      <c r="P126" s="322"/>
      <c r="Q126" s="322"/>
      <c r="R126" s="322"/>
      <c r="S126" s="322"/>
      <c r="T126" s="322"/>
      <c r="U126" s="322">
        <f>SUM(I126:T126)</f>
        <v>0</v>
      </c>
      <c r="V126" s="248">
        <f t="shared" si="38"/>
        <v>0</v>
      </c>
      <c r="W126" s="35"/>
      <c r="X126" s="247">
        <v>0</v>
      </c>
    </row>
    <row r="127" spans="2:24" ht="12.75" hidden="1">
      <c r="B127" s="91"/>
      <c r="C127" s="92"/>
      <c r="D127" s="93"/>
      <c r="E127" s="96" t="s">
        <v>65</v>
      </c>
      <c r="F127" s="97"/>
      <c r="G127" s="98" t="s">
        <v>179</v>
      </c>
      <c r="H127" s="225">
        <f>SUM(H128:H129)</f>
        <v>0</v>
      </c>
      <c r="I127" s="225">
        <f>SUM(I128:I129)</f>
        <v>0</v>
      </c>
      <c r="J127" s="225">
        <f aca="true" t="shared" si="46" ref="J127:S127">SUM(J128:J129)</f>
        <v>0</v>
      </c>
      <c r="K127" s="225">
        <f t="shared" si="46"/>
        <v>0</v>
      </c>
      <c r="L127" s="225">
        <f t="shared" si="46"/>
        <v>0</v>
      </c>
      <c r="M127" s="225">
        <f t="shared" si="46"/>
        <v>0</v>
      </c>
      <c r="N127" s="225">
        <f>SUM(N128:N129)</f>
        <v>0</v>
      </c>
      <c r="O127" s="225">
        <f t="shared" si="46"/>
        <v>0</v>
      </c>
      <c r="P127" s="225">
        <f t="shared" si="46"/>
        <v>0</v>
      </c>
      <c r="Q127" s="225">
        <f t="shared" si="46"/>
        <v>0</v>
      </c>
      <c r="R127" s="225">
        <f t="shared" si="46"/>
        <v>0</v>
      </c>
      <c r="S127" s="225">
        <f t="shared" si="46"/>
        <v>0</v>
      </c>
      <c r="T127" s="225">
        <f>SUM(T128:T129)</f>
        <v>0</v>
      </c>
      <c r="U127" s="225">
        <f>SUM(U128:U129)</f>
        <v>0</v>
      </c>
      <c r="V127" s="246">
        <f t="shared" si="38"/>
        <v>0</v>
      </c>
      <c r="W127" s="37">
        <f>SUM(W128:W129)</f>
        <v>0</v>
      </c>
      <c r="X127" s="247">
        <v>0</v>
      </c>
    </row>
    <row r="128" spans="2:24" ht="12.75" hidden="1">
      <c r="B128" s="100"/>
      <c r="C128" s="101"/>
      <c r="D128" s="102"/>
      <c r="E128" s="103"/>
      <c r="F128" s="114" t="s">
        <v>14</v>
      </c>
      <c r="G128" s="98" t="s">
        <v>180</v>
      </c>
      <c r="H128" s="322"/>
      <c r="I128" s="322"/>
      <c r="J128" s="322"/>
      <c r="K128" s="322"/>
      <c r="L128" s="322"/>
      <c r="M128" s="322"/>
      <c r="N128" s="322"/>
      <c r="O128" s="322"/>
      <c r="P128" s="322"/>
      <c r="Q128" s="322"/>
      <c r="R128" s="322"/>
      <c r="S128" s="322"/>
      <c r="T128" s="322"/>
      <c r="U128" s="322">
        <f>SUM(I128:T128)</f>
        <v>0</v>
      </c>
      <c r="V128" s="248">
        <f t="shared" si="38"/>
        <v>0</v>
      </c>
      <c r="W128" s="35"/>
      <c r="X128" s="249" t="e">
        <f aca="true" t="shared" si="47" ref="X128:X138">SUM(U128/H128)*100</f>
        <v>#DIV/0!</v>
      </c>
    </row>
    <row r="129" spans="2:24" ht="12.75" hidden="1">
      <c r="B129" s="100"/>
      <c r="C129" s="101"/>
      <c r="D129" s="102"/>
      <c r="E129" s="103"/>
      <c r="F129" s="104" t="s">
        <v>17</v>
      </c>
      <c r="G129" s="105" t="s">
        <v>181</v>
      </c>
      <c r="H129" s="322"/>
      <c r="I129" s="322"/>
      <c r="J129" s="322"/>
      <c r="K129" s="322"/>
      <c r="L129" s="322"/>
      <c r="M129" s="322"/>
      <c r="N129" s="322"/>
      <c r="O129" s="322"/>
      <c r="P129" s="322"/>
      <c r="Q129" s="322"/>
      <c r="R129" s="322"/>
      <c r="S129" s="322"/>
      <c r="T129" s="322"/>
      <c r="U129" s="322">
        <f>SUM(I129:T129)</f>
        <v>0</v>
      </c>
      <c r="V129" s="248">
        <f t="shared" si="38"/>
        <v>0</v>
      </c>
      <c r="W129" s="35"/>
      <c r="X129" s="249" t="e">
        <f t="shared" si="47"/>
        <v>#DIV/0!</v>
      </c>
    </row>
    <row r="130" spans="2:24" ht="12.75">
      <c r="B130" s="91"/>
      <c r="C130" s="92"/>
      <c r="D130" s="93"/>
      <c r="E130" s="96" t="s">
        <v>182</v>
      </c>
      <c r="F130" s="97"/>
      <c r="G130" s="98" t="s">
        <v>183</v>
      </c>
      <c r="H130" s="225">
        <f>SUM(H131:H138)</f>
        <v>54822000</v>
      </c>
      <c r="I130" s="225">
        <f>SUM(I131:I138)</f>
        <v>12766289</v>
      </c>
      <c r="J130" s="225">
        <f aca="true" t="shared" si="48" ref="J130:S130">SUM(J131:J138)</f>
        <v>3778042</v>
      </c>
      <c r="K130" s="225">
        <f t="shared" si="48"/>
        <v>3770627</v>
      </c>
      <c r="L130" s="225">
        <f t="shared" si="48"/>
        <v>3766155</v>
      </c>
      <c r="M130" s="225">
        <f t="shared" si="48"/>
        <v>3629138</v>
      </c>
      <c r="N130" s="225">
        <f>SUM(N131:N138)</f>
        <v>3774857</v>
      </c>
      <c r="O130" s="225">
        <f t="shared" si="48"/>
        <v>3798029</v>
      </c>
      <c r="P130" s="225">
        <f t="shared" si="48"/>
        <v>3448361</v>
      </c>
      <c r="Q130" s="225">
        <f t="shared" si="48"/>
        <v>3349247</v>
      </c>
      <c r="R130" s="225">
        <f t="shared" si="48"/>
        <v>0</v>
      </c>
      <c r="S130" s="225">
        <f t="shared" si="48"/>
        <v>0</v>
      </c>
      <c r="T130" s="225">
        <f>SUM(T131:T138)</f>
        <v>0</v>
      </c>
      <c r="U130" s="225">
        <f>SUM(U131:U138)</f>
        <v>42080745</v>
      </c>
      <c r="V130" s="246">
        <f t="shared" si="38"/>
        <v>12741255</v>
      </c>
      <c r="W130" s="37">
        <f>SUM(W131:W138)</f>
        <v>0</v>
      </c>
      <c r="X130" s="247">
        <f t="shared" si="47"/>
        <v>76.75886505417533</v>
      </c>
    </row>
    <row r="131" spans="2:24" ht="12.75" hidden="1">
      <c r="B131" s="91"/>
      <c r="C131" s="92"/>
      <c r="D131" s="93"/>
      <c r="E131" s="96"/>
      <c r="F131" s="97" t="s">
        <v>14</v>
      </c>
      <c r="G131" s="107" t="s">
        <v>184</v>
      </c>
      <c r="H131" s="322"/>
      <c r="I131" s="322"/>
      <c r="J131" s="322"/>
      <c r="K131" s="322"/>
      <c r="L131" s="322"/>
      <c r="M131" s="322"/>
      <c r="N131" s="322"/>
      <c r="O131" s="322"/>
      <c r="P131" s="322"/>
      <c r="Q131" s="322"/>
      <c r="R131" s="322"/>
      <c r="S131" s="322"/>
      <c r="T131" s="322"/>
      <c r="U131" s="322">
        <f aca="true" t="shared" si="49" ref="U131:U138">SUM(I131:T131)</f>
        <v>0</v>
      </c>
      <c r="V131" s="248">
        <f t="shared" si="38"/>
        <v>0</v>
      </c>
      <c r="W131" s="35"/>
      <c r="X131" s="249" t="e">
        <f t="shared" si="47"/>
        <v>#DIV/0!</v>
      </c>
    </row>
    <row r="132" spans="2:24" ht="12.75" hidden="1">
      <c r="B132" s="91"/>
      <c r="C132" s="92"/>
      <c r="D132" s="93"/>
      <c r="E132" s="96"/>
      <c r="F132" s="97" t="s">
        <v>17</v>
      </c>
      <c r="G132" s="107" t="s">
        <v>185</v>
      </c>
      <c r="H132" s="322"/>
      <c r="I132" s="322"/>
      <c r="J132" s="322"/>
      <c r="K132" s="322"/>
      <c r="L132" s="322"/>
      <c r="M132" s="322"/>
      <c r="N132" s="322"/>
      <c r="O132" s="322"/>
      <c r="P132" s="322"/>
      <c r="Q132" s="322"/>
      <c r="R132" s="322"/>
      <c r="S132" s="322"/>
      <c r="T132" s="322"/>
      <c r="U132" s="322">
        <f t="shared" si="49"/>
        <v>0</v>
      </c>
      <c r="V132" s="248">
        <f t="shared" si="38"/>
        <v>0</v>
      </c>
      <c r="W132" s="35"/>
      <c r="X132" s="249" t="e">
        <f t="shared" si="47"/>
        <v>#DIV/0!</v>
      </c>
    </row>
    <row r="133" spans="2:24" ht="12.75" hidden="1">
      <c r="B133" s="100"/>
      <c r="C133" s="101"/>
      <c r="D133" s="102"/>
      <c r="E133" s="103"/>
      <c r="F133" s="104" t="s">
        <v>22</v>
      </c>
      <c r="G133" s="105" t="s">
        <v>186</v>
      </c>
      <c r="H133" s="322"/>
      <c r="I133" s="322"/>
      <c r="J133" s="322"/>
      <c r="K133" s="322"/>
      <c r="L133" s="322"/>
      <c r="M133" s="322"/>
      <c r="N133" s="322"/>
      <c r="O133" s="322"/>
      <c r="P133" s="322"/>
      <c r="Q133" s="322"/>
      <c r="R133" s="322"/>
      <c r="S133" s="322"/>
      <c r="T133" s="322"/>
      <c r="U133" s="322">
        <f t="shared" si="49"/>
        <v>0</v>
      </c>
      <c r="V133" s="248">
        <f t="shared" si="38"/>
        <v>0</v>
      </c>
      <c r="W133" s="35"/>
      <c r="X133" s="249" t="e">
        <f t="shared" si="47"/>
        <v>#DIV/0!</v>
      </c>
    </row>
    <row r="134" spans="2:24" ht="36" hidden="1">
      <c r="B134" s="91"/>
      <c r="C134" s="92"/>
      <c r="D134" s="93"/>
      <c r="E134" s="96"/>
      <c r="F134" s="97" t="s">
        <v>28</v>
      </c>
      <c r="G134" s="108" t="s">
        <v>187</v>
      </c>
      <c r="H134" s="322"/>
      <c r="I134" s="322"/>
      <c r="J134" s="322"/>
      <c r="K134" s="322"/>
      <c r="L134" s="322"/>
      <c r="M134" s="322"/>
      <c r="N134" s="322"/>
      <c r="O134" s="322"/>
      <c r="P134" s="322"/>
      <c r="Q134" s="322"/>
      <c r="R134" s="322"/>
      <c r="S134" s="322"/>
      <c r="T134" s="322"/>
      <c r="U134" s="322">
        <f t="shared" si="49"/>
        <v>0</v>
      </c>
      <c r="V134" s="248">
        <f t="shared" si="38"/>
        <v>0</v>
      </c>
      <c r="W134" s="35"/>
      <c r="X134" s="249" t="e">
        <f t="shared" si="47"/>
        <v>#DIV/0!</v>
      </c>
    </row>
    <row r="135" spans="2:24" ht="12.75">
      <c r="B135" s="91"/>
      <c r="C135" s="92"/>
      <c r="D135" s="93"/>
      <c r="E135" s="96"/>
      <c r="F135" s="97" t="s">
        <v>54</v>
      </c>
      <c r="G135" s="107" t="s">
        <v>188</v>
      </c>
      <c r="H135" s="322">
        <v>45802000</v>
      </c>
      <c r="I135" s="322">
        <v>3746289</v>
      </c>
      <c r="J135" s="322">
        <v>3778042</v>
      </c>
      <c r="K135" s="322">
        <v>3770627</v>
      </c>
      <c r="L135" s="322">
        <v>3766155</v>
      </c>
      <c r="M135" s="322">
        <v>3629138</v>
      </c>
      <c r="N135" s="322">
        <v>3774857</v>
      </c>
      <c r="O135" s="322">
        <v>3798029</v>
      </c>
      <c r="P135" s="322">
        <v>3448361</v>
      </c>
      <c r="Q135" s="322">
        <v>3349247</v>
      </c>
      <c r="R135" s="322">
        <v>0</v>
      </c>
      <c r="S135" s="322">
        <v>0</v>
      </c>
      <c r="T135" s="322">
        <v>0</v>
      </c>
      <c r="U135" s="322">
        <f t="shared" si="49"/>
        <v>33060745</v>
      </c>
      <c r="V135" s="248">
        <f t="shared" si="38"/>
        <v>12741255</v>
      </c>
      <c r="W135" s="35">
        <v>0</v>
      </c>
      <c r="X135" s="247">
        <f t="shared" si="47"/>
        <v>72.1818807038994</v>
      </c>
    </row>
    <row r="136" spans="2:24" ht="12.75" hidden="1">
      <c r="B136" s="91"/>
      <c r="C136" s="92"/>
      <c r="D136" s="93"/>
      <c r="E136" s="96"/>
      <c r="F136" s="97" t="s">
        <v>57</v>
      </c>
      <c r="G136" s="107" t="s">
        <v>189</v>
      </c>
      <c r="H136" s="322">
        <v>0</v>
      </c>
      <c r="I136" s="322">
        <v>0</v>
      </c>
      <c r="J136" s="322">
        <v>0</v>
      </c>
      <c r="K136" s="322">
        <v>0</v>
      </c>
      <c r="L136" s="322">
        <v>0</v>
      </c>
      <c r="M136" s="322">
        <v>0</v>
      </c>
      <c r="N136" s="322">
        <v>0</v>
      </c>
      <c r="O136" s="322">
        <v>0</v>
      </c>
      <c r="P136" s="322">
        <v>0</v>
      </c>
      <c r="Q136" s="322">
        <v>0</v>
      </c>
      <c r="R136" s="322">
        <v>0</v>
      </c>
      <c r="S136" s="322">
        <v>0</v>
      </c>
      <c r="T136" s="322">
        <v>0</v>
      </c>
      <c r="U136" s="322">
        <f t="shared" si="49"/>
        <v>0</v>
      </c>
      <c r="V136" s="248">
        <f t="shared" si="38"/>
        <v>0</v>
      </c>
      <c r="W136" s="35"/>
      <c r="X136" s="249" t="e">
        <f t="shared" si="47"/>
        <v>#DIV/0!</v>
      </c>
    </row>
    <row r="137" spans="2:24" ht="12.75" hidden="1">
      <c r="B137" s="91"/>
      <c r="C137" s="92"/>
      <c r="D137" s="93"/>
      <c r="E137" s="96"/>
      <c r="F137" s="97" t="s">
        <v>61</v>
      </c>
      <c r="G137" s="107" t="s">
        <v>190</v>
      </c>
      <c r="H137" s="322">
        <v>0</v>
      </c>
      <c r="I137" s="322">
        <v>0</v>
      </c>
      <c r="J137" s="322">
        <v>0</v>
      </c>
      <c r="K137" s="322">
        <v>0</v>
      </c>
      <c r="L137" s="322">
        <v>0</v>
      </c>
      <c r="M137" s="322">
        <v>0</v>
      </c>
      <c r="N137" s="322">
        <v>0</v>
      </c>
      <c r="O137" s="322">
        <v>0</v>
      </c>
      <c r="P137" s="322">
        <v>0</v>
      </c>
      <c r="Q137" s="322">
        <v>0</v>
      </c>
      <c r="R137" s="322">
        <v>0</v>
      </c>
      <c r="S137" s="322">
        <v>0</v>
      </c>
      <c r="T137" s="322">
        <v>0</v>
      </c>
      <c r="U137" s="322">
        <f t="shared" si="49"/>
        <v>0</v>
      </c>
      <c r="V137" s="248">
        <f t="shared" si="38"/>
        <v>0</v>
      </c>
      <c r="W137" s="35"/>
      <c r="X137" s="249" t="e">
        <f t="shared" si="47"/>
        <v>#DIV/0!</v>
      </c>
    </row>
    <row r="138" spans="2:24" ht="12.75">
      <c r="B138" s="91"/>
      <c r="C138" s="92"/>
      <c r="D138" s="93"/>
      <c r="E138" s="96"/>
      <c r="F138" s="97" t="s">
        <v>30</v>
      </c>
      <c r="G138" s="107" t="s">
        <v>191</v>
      </c>
      <c r="H138" s="322">
        <v>9020000</v>
      </c>
      <c r="I138" s="322">
        <v>9020000</v>
      </c>
      <c r="J138" s="322">
        <v>0</v>
      </c>
      <c r="K138" s="322">
        <v>0</v>
      </c>
      <c r="L138" s="322">
        <v>0</v>
      </c>
      <c r="M138" s="322">
        <v>0</v>
      </c>
      <c r="N138" s="322">
        <v>0</v>
      </c>
      <c r="O138" s="322">
        <v>0</v>
      </c>
      <c r="P138" s="322">
        <v>0</v>
      </c>
      <c r="Q138" s="322">
        <v>0</v>
      </c>
      <c r="R138" s="322">
        <v>0</v>
      </c>
      <c r="S138" s="322">
        <v>0</v>
      </c>
      <c r="T138" s="322">
        <v>0</v>
      </c>
      <c r="U138" s="322">
        <f t="shared" si="49"/>
        <v>9020000</v>
      </c>
      <c r="V138" s="248">
        <f aca="true" t="shared" si="50" ref="V138:V160">H138-U138</f>
        <v>0</v>
      </c>
      <c r="W138" s="35"/>
      <c r="X138" s="247">
        <f t="shared" si="47"/>
        <v>100</v>
      </c>
    </row>
    <row r="139" spans="2:24" ht="12.75" hidden="1">
      <c r="B139" s="91"/>
      <c r="C139" s="92"/>
      <c r="D139" s="93"/>
      <c r="E139" s="96" t="s">
        <v>192</v>
      </c>
      <c r="F139" s="97"/>
      <c r="G139" s="98" t="s">
        <v>193</v>
      </c>
      <c r="H139" s="225">
        <f aca="true" t="shared" si="51" ref="H139:W139">SUM(H140)</f>
        <v>0</v>
      </c>
      <c r="I139" s="225">
        <f t="shared" si="51"/>
        <v>0</v>
      </c>
      <c r="J139" s="225">
        <f t="shared" si="51"/>
        <v>0</v>
      </c>
      <c r="K139" s="225">
        <f t="shared" si="51"/>
        <v>0</v>
      </c>
      <c r="L139" s="225">
        <f t="shared" si="51"/>
        <v>0</v>
      </c>
      <c r="M139" s="225">
        <f t="shared" si="51"/>
        <v>0</v>
      </c>
      <c r="N139" s="225">
        <f t="shared" si="51"/>
        <v>0</v>
      </c>
      <c r="O139" s="225">
        <f t="shared" si="51"/>
        <v>0</v>
      </c>
      <c r="P139" s="225">
        <f t="shared" si="51"/>
        <v>0</v>
      </c>
      <c r="Q139" s="225">
        <f t="shared" si="51"/>
        <v>0</v>
      </c>
      <c r="R139" s="225">
        <f t="shared" si="51"/>
        <v>0</v>
      </c>
      <c r="S139" s="225">
        <f t="shared" si="51"/>
        <v>0</v>
      </c>
      <c r="T139" s="225">
        <f t="shared" si="51"/>
        <v>0</v>
      </c>
      <c r="U139" s="225">
        <f t="shared" si="51"/>
        <v>0</v>
      </c>
      <c r="V139" s="246">
        <f t="shared" si="50"/>
        <v>0</v>
      </c>
      <c r="W139" s="37">
        <f t="shared" si="51"/>
        <v>0</v>
      </c>
      <c r="X139" s="247">
        <v>0</v>
      </c>
    </row>
    <row r="140" spans="2:24" ht="12.75" hidden="1">
      <c r="B140" s="91"/>
      <c r="C140" s="92"/>
      <c r="D140" s="93"/>
      <c r="E140" s="96"/>
      <c r="F140" s="97" t="s">
        <v>14</v>
      </c>
      <c r="G140" s="98" t="s">
        <v>194</v>
      </c>
      <c r="H140" s="322">
        <v>0</v>
      </c>
      <c r="I140" s="322">
        <v>0</v>
      </c>
      <c r="J140" s="322">
        <v>0</v>
      </c>
      <c r="K140" s="322">
        <v>0</v>
      </c>
      <c r="L140" s="322">
        <v>0</v>
      </c>
      <c r="M140" s="322">
        <v>0</v>
      </c>
      <c r="N140" s="322">
        <v>0</v>
      </c>
      <c r="O140" s="322">
        <v>0</v>
      </c>
      <c r="P140" s="322">
        <v>0</v>
      </c>
      <c r="Q140" s="322">
        <v>0</v>
      </c>
      <c r="R140" s="322">
        <v>0</v>
      </c>
      <c r="S140" s="322">
        <v>0</v>
      </c>
      <c r="T140" s="322">
        <v>0</v>
      </c>
      <c r="U140" s="322">
        <f>SUM(I140:T140)</f>
        <v>0</v>
      </c>
      <c r="V140" s="248">
        <f t="shared" si="50"/>
        <v>0</v>
      </c>
      <c r="W140" s="35"/>
      <c r="X140" s="247">
        <v>0</v>
      </c>
    </row>
    <row r="141" spans="2:24" ht="12.75" hidden="1">
      <c r="B141" s="91"/>
      <c r="C141" s="92"/>
      <c r="D141" s="93"/>
      <c r="E141" s="96" t="s">
        <v>195</v>
      </c>
      <c r="F141" s="97"/>
      <c r="G141" s="98" t="s">
        <v>196</v>
      </c>
      <c r="H141" s="225">
        <f aca="true" t="shared" si="52" ref="H141:W141">SUM(H142)</f>
        <v>0</v>
      </c>
      <c r="I141" s="225">
        <f t="shared" si="52"/>
        <v>0</v>
      </c>
      <c r="J141" s="225">
        <f t="shared" si="52"/>
        <v>0</v>
      </c>
      <c r="K141" s="225">
        <f t="shared" si="52"/>
        <v>0</v>
      </c>
      <c r="L141" s="225">
        <f t="shared" si="52"/>
        <v>0</v>
      </c>
      <c r="M141" s="225">
        <f t="shared" si="52"/>
        <v>0</v>
      </c>
      <c r="N141" s="225">
        <f t="shared" si="52"/>
        <v>0</v>
      </c>
      <c r="O141" s="225">
        <f t="shared" si="52"/>
        <v>0</v>
      </c>
      <c r="P141" s="225">
        <f t="shared" si="52"/>
        <v>0</v>
      </c>
      <c r="Q141" s="225">
        <f t="shared" si="52"/>
        <v>0</v>
      </c>
      <c r="R141" s="225">
        <f t="shared" si="52"/>
        <v>0</v>
      </c>
      <c r="S141" s="225">
        <f t="shared" si="52"/>
        <v>0</v>
      </c>
      <c r="T141" s="225">
        <f t="shared" si="52"/>
        <v>0</v>
      </c>
      <c r="U141" s="225">
        <f t="shared" si="52"/>
        <v>0</v>
      </c>
      <c r="V141" s="246">
        <f t="shared" si="50"/>
        <v>0</v>
      </c>
      <c r="W141" s="37">
        <f t="shared" si="52"/>
        <v>0</v>
      </c>
      <c r="X141" s="247">
        <v>0</v>
      </c>
    </row>
    <row r="142" spans="2:24" ht="12.75" hidden="1">
      <c r="B142" s="91"/>
      <c r="C142" s="92"/>
      <c r="D142" s="93"/>
      <c r="E142" s="96"/>
      <c r="F142" s="97" t="s">
        <v>14</v>
      </c>
      <c r="G142" s="98" t="s">
        <v>197</v>
      </c>
      <c r="H142" s="322">
        <v>0</v>
      </c>
      <c r="I142" s="322">
        <v>0</v>
      </c>
      <c r="J142" s="322">
        <v>0</v>
      </c>
      <c r="K142" s="322">
        <v>0</v>
      </c>
      <c r="L142" s="322">
        <v>0</v>
      </c>
      <c r="M142" s="322">
        <v>0</v>
      </c>
      <c r="N142" s="322">
        <v>0</v>
      </c>
      <c r="O142" s="322">
        <v>0</v>
      </c>
      <c r="P142" s="322">
        <v>0</v>
      </c>
      <c r="Q142" s="322">
        <v>0</v>
      </c>
      <c r="R142" s="322">
        <v>0</v>
      </c>
      <c r="S142" s="322">
        <v>0</v>
      </c>
      <c r="T142" s="322">
        <v>0</v>
      </c>
      <c r="U142" s="322">
        <f>SUM(I142:T142)</f>
        <v>0</v>
      </c>
      <c r="V142" s="248">
        <f t="shared" si="50"/>
        <v>0</v>
      </c>
      <c r="W142" s="35"/>
      <c r="X142" s="247">
        <v>0</v>
      </c>
    </row>
    <row r="143" spans="2:24" ht="12.75">
      <c r="B143" s="91"/>
      <c r="C143" s="92"/>
      <c r="D143" s="93"/>
      <c r="E143" s="96" t="s">
        <v>282</v>
      </c>
      <c r="F143" s="97"/>
      <c r="G143" s="98" t="s">
        <v>199</v>
      </c>
      <c r="H143" s="225">
        <f>SUM(H144:H151)</f>
        <v>184810000</v>
      </c>
      <c r="I143" s="225">
        <f>SUM(I144:I151)</f>
        <v>11021532</v>
      </c>
      <c r="J143" s="225">
        <f aca="true" t="shared" si="53" ref="J143:S143">SUM(J144:J151)</f>
        <v>10960589</v>
      </c>
      <c r="K143" s="225">
        <f t="shared" si="53"/>
        <v>10891999</v>
      </c>
      <c r="L143" s="225">
        <f t="shared" si="53"/>
        <v>10977333</v>
      </c>
      <c r="M143" s="225">
        <f t="shared" si="53"/>
        <v>10006836</v>
      </c>
      <c r="N143" s="225">
        <f>SUM(N144:N151)</f>
        <v>10432032</v>
      </c>
      <c r="O143" s="225">
        <f t="shared" si="53"/>
        <v>10668624</v>
      </c>
      <c r="P143" s="225">
        <f t="shared" si="53"/>
        <v>9766773</v>
      </c>
      <c r="Q143" s="225">
        <f t="shared" si="53"/>
        <v>9550135</v>
      </c>
      <c r="R143" s="225">
        <f t="shared" si="53"/>
        <v>0</v>
      </c>
      <c r="S143" s="225">
        <f t="shared" si="53"/>
        <v>0</v>
      </c>
      <c r="T143" s="225">
        <f>SUM(T144:T151)</f>
        <v>0</v>
      </c>
      <c r="U143" s="225">
        <f>SUM(U144:U151)</f>
        <v>94275853</v>
      </c>
      <c r="V143" s="246">
        <f t="shared" si="50"/>
        <v>90534147</v>
      </c>
      <c r="W143" s="37">
        <f>SUM(W144:W151)</f>
        <v>0</v>
      </c>
      <c r="X143" s="247">
        <f>SUM(U143/H143)*100</f>
        <v>51.0123115632271</v>
      </c>
    </row>
    <row r="144" spans="2:24" ht="12.75">
      <c r="B144" s="91"/>
      <c r="C144" s="92"/>
      <c r="D144" s="93"/>
      <c r="E144" s="96"/>
      <c r="F144" s="97" t="s">
        <v>14</v>
      </c>
      <c r="G144" s="107" t="s">
        <v>200</v>
      </c>
      <c r="H144" s="322">
        <v>65365000</v>
      </c>
      <c r="I144" s="322">
        <v>5339806</v>
      </c>
      <c r="J144" s="322">
        <v>5347135</v>
      </c>
      <c r="K144" s="322">
        <v>5323790</v>
      </c>
      <c r="L144" s="322">
        <v>5350044</v>
      </c>
      <c r="M144" s="322">
        <v>5039441</v>
      </c>
      <c r="N144" s="322">
        <v>5249600</v>
      </c>
      <c r="O144" s="322">
        <v>5356715</v>
      </c>
      <c r="P144" s="322">
        <v>4910165</v>
      </c>
      <c r="Q144" s="322">
        <v>4789485</v>
      </c>
      <c r="R144" s="322">
        <v>0</v>
      </c>
      <c r="S144" s="322">
        <v>0</v>
      </c>
      <c r="T144" s="322">
        <v>0</v>
      </c>
      <c r="U144" s="322">
        <f aca="true" t="shared" si="54" ref="U144:U151">SUM(I144:T144)</f>
        <v>46706181</v>
      </c>
      <c r="V144" s="248">
        <f t="shared" si="50"/>
        <v>18658819</v>
      </c>
      <c r="W144" s="35">
        <v>0</v>
      </c>
      <c r="X144" s="247">
        <f>SUM(U144/H144)*100</f>
        <v>71.45441903159183</v>
      </c>
    </row>
    <row r="145" spans="2:24" ht="12.75">
      <c r="B145" s="91"/>
      <c r="C145" s="92"/>
      <c r="D145" s="93"/>
      <c r="E145" s="96"/>
      <c r="F145" s="97" t="s">
        <v>17</v>
      </c>
      <c r="G145" s="107" t="s">
        <v>201</v>
      </c>
      <c r="H145" s="322">
        <v>20015000</v>
      </c>
      <c r="I145" s="322">
        <v>1639127</v>
      </c>
      <c r="J145" s="322">
        <v>1618756</v>
      </c>
      <c r="K145" s="322">
        <v>1605548</v>
      </c>
      <c r="L145" s="322">
        <v>1622942</v>
      </c>
      <c r="M145" s="322">
        <v>1460471</v>
      </c>
      <c r="N145" s="322">
        <v>1527238</v>
      </c>
      <c r="O145" s="322">
        <v>1564939</v>
      </c>
      <c r="P145" s="322">
        <v>1447725</v>
      </c>
      <c r="Q145" s="322">
        <v>1420836</v>
      </c>
      <c r="R145" s="322">
        <v>0</v>
      </c>
      <c r="S145" s="322">
        <v>0</v>
      </c>
      <c r="T145" s="322">
        <v>0</v>
      </c>
      <c r="U145" s="322">
        <f t="shared" si="54"/>
        <v>13907582</v>
      </c>
      <c r="V145" s="248">
        <f t="shared" si="50"/>
        <v>6107418</v>
      </c>
      <c r="W145" s="35">
        <v>0</v>
      </c>
      <c r="X145" s="247">
        <f>SUM(U145/H145)*100</f>
        <v>69.48579565326006</v>
      </c>
    </row>
    <row r="146" spans="2:24" ht="12.75">
      <c r="B146" s="91"/>
      <c r="C146" s="92"/>
      <c r="D146" s="93"/>
      <c r="E146" s="96"/>
      <c r="F146" s="97" t="s">
        <v>22</v>
      </c>
      <c r="G146" s="107" t="s">
        <v>202</v>
      </c>
      <c r="H146" s="322">
        <v>49879000</v>
      </c>
      <c r="I146" s="322">
        <v>4042599</v>
      </c>
      <c r="J146" s="322">
        <v>3994698</v>
      </c>
      <c r="K146" s="322">
        <v>3962661</v>
      </c>
      <c r="L146" s="322">
        <v>4004347</v>
      </c>
      <c r="M146" s="322">
        <v>3506924</v>
      </c>
      <c r="N146" s="322">
        <v>3655194</v>
      </c>
      <c r="O146" s="322">
        <v>3746970</v>
      </c>
      <c r="P146" s="322">
        <v>3408883</v>
      </c>
      <c r="Q146" s="322">
        <v>3339814</v>
      </c>
      <c r="R146" s="322">
        <v>0</v>
      </c>
      <c r="S146" s="322">
        <v>0</v>
      </c>
      <c r="T146" s="322">
        <v>0</v>
      </c>
      <c r="U146" s="322">
        <f t="shared" si="54"/>
        <v>33662090</v>
      </c>
      <c r="V146" s="248">
        <f t="shared" si="50"/>
        <v>16216910</v>
      </c>
      <c r="W146" s="35">
        <v>0</v>
      </c>
      <c r="X146" s="247">
        <f>SUM(U146/H146)*100</f>
        <v>67.48749974939354</v>
      </c>
    </row>
    <row r="147" spans="2:24" ht="12.75">
      <c r="B147" s="91"/>
      <c r="C147" s="92"/>
      <c r="D147" s="93"/>
      <c r="E147" s="96"/>
      <c r="F147" s="97" t="s">
        <v>28</v>
      </c>
      <c r="G147" s="107" t="s">
        <v>203</v>
      </c>
      <c r="H147" s="322">
        <v>14551000</v>
      </c>
      <c r="I147" s="322">
        <v>0</v>
      </c>
      <c r="J147" s="322">
        <v>0</v>
      </c>
      <c r="K147" s="322">
        <v>0</v>
      </c>
      <c r="L147" s="322">
        <v>0</v>
      </c>
      <c r="M147" s="322">
        <v>0</v>
      </c>
      <c r="N147" s="322">
        <v>0</v>
      </c>
      <c r="O147" s="322">
        <v>0</v>
      </c>
      <c r="P147" s="322">
        <v>0</v>
      </c>
      <c r="Q147" s="322">
        <v>0</v>
      </c>
      <c r="R147" s="322">
        <v>0</v>
      </c>
      <c r="S147" s="322">
        <v>0</v>
      </c>
      <c r="T147" s="322">
        <v>0</v>
      </c>
      <c r="U147" s="322">
        <f t="shared" si="54"/>
        <v>0</v>
      </c>
      <c r="V147" s="248">
        <f t="shared" si="50"/>
        <v>14551000</v>
      </c>
      <c r="W147" s="35"/>
      <c r="X147" s="247">
        <v>0</v>
      </c>
    </row>
    <row r="148" spans="2:24" ht="12.75">
      <c r="B148" s="91"/>
      <c r="C148" s="92"/>
      <c r="D148" s="93"/>
      <c r="E148" s="96"/>
      <c r="F148" s="97" t="s">
        <v>54</v>
      </c>
      <c r="G148" s="107" t="s">
        <v>204</v>
      </c>
      <c r="H148" s="322">
        <v>0</v>
      </c>
      <c r="I148" s="322">
        <v>0</v>
      </c>
      <c r="J148" s="322">
        <v>0</v>
      </c>
      <c r="K148" s="322">
        <v>0</v>
      </c>
      <c r="L148" s="322">
        <v>0</v>
      </c>
      <c r="M148" s="322">
        <v>0</v>
      </c>
      <c r="N148" s="322">
        <v>0</v>
      </c>
      <c r="O148" s="322">
        <v>0</v>
      </c>
      <c r="P148" s="322">
        <v>0</v>
      </c>
      <c r="Q148" s="322">
        <v>0</v>
      </c>
      <c r="R148" s="322">
        <v>0</v>
      </c>
      <c r="S148" s="322">
        <v>0</v>
      </c>
      <c r="T148" s="322">
        <v>0</v>
      </c>
      <c r="U148" s="322">
        <f t="shared" si="54"/>
        <v>0</v>
      </c>
      <c r="V148" s="248">
        <f t="shared" si="50"/>
        <v>0</v>
      </c>
      <c r="W148" s="35"/>
      <c r="X148" s="247">
        <v>0</v>
      </c>
    </row>
    <row r="149" spans="2:24" ht="12.75">
      <c r="B149" s="91"/>
      <c r="C149" s="92"/>
      <c r="D149" s="93"/>
      <c r="E149" s="96"/>
      <c r="F149" s="97" t="s">
        <v>57</v>
      </c>
      <c r="G149" s="107" t="s">
        <v>205</v>
      </c>
      <c r="H149" s="322">
        <v>0</v>
      </c>
      <c r="I149" s="322">
        <v>0</v>
      </c>
      <c r="J149" s="322">
        <v>0</v>
      </c>
      <c r="K149" s="322">
        <v>0</v>
      </c>
      <c r="L149" s="322">
        <v>0</v>
      </c>
      <c r="M149" s="322">
        <v>0</v>
      </c>
      <c r="N149" s="322">
        <v>0</v>
      </c>
      <c r="O149" s="322">
        <v>0</v>
      </c>
      <c r="P149" s="322">
        <v>0</v>
      </c>
      <c r="Q149" s="322">
        <v>0</v>
      </c>
      <c r="R149" s="322">
        <v>0</v>
      </c>
      <c r="S149" s="322">
        <v>0</v>
      </c>
      <c r="T149" s="322">
        <v>0</v>
      </c>
      <c r="U149" s="322">
        <f t="shared" si="54"/>
        <v>0</v>
      </c>
      <c r="V149" s="248">
        <f t="shared" si="50"/>
        <v>0</v>
      </c>
      <c r="W149" s="35"/>
      <c r="X149" s="247">
        <v>0</v>
      </c>
    </row>
    <row r="150" spans="2:24" ht="12.75">
      <c r="B150" s="91"/>
      <c r="C150" s="92"/>
      <c r="D150" s="93"/>
      <c r="E150" s="96"/>
      <c r="F150" s="97" t="s">
        <v>61</v>
      </c>
      <c r="G150" s="107" t="s">
        <v>206</v>
      </c>
      <c r="H150" s="322">
        <v>0</v>
      </c>
      <c r="I150" s="322">
        <v>0</v>
      </c>
      <c r="J150" s="322">
        <v>0</v>
      </c>
      <c r="K150" s="322">
        <v>0</v>
      </c>
      <c r="L150" s="322">
        <v>0</v>
      </c>
      <c r="M150" s="322">
        <v>0</v>
      </c>
      <c r="N150" s="322">
        <v>0</v>
      </c>
      <c r="O150" s="322">
        <v>0</v>
      </c>
      <c r="P150" s="322">
        <v>0</v>
      </c>
      <c r="Q150" s="322">
        <v>0</v>
      </c>
      <c r="R150" s="322">
        <v>0</v>
      </c>
      <c r="S150" s="322">
        <v>0</v>
      </c>
      <c r="T150" s="322">
        <v>0</v>
      </c>
      <c r="U150" s="322">
        <f t="shared" si="54"/>
        <v>0</v>
      </c>
      <c r="V150" s="248">
        <f t="shared" si="50"/>
        <v>0</v>
      </c>
      <c r="W150" s="35"/>
      <c r="X150" s="247">
        <v>0</v>
      </c>
    </row>
    <row r="151" spans="2:24" ht="12.75">
      <c r="B151" s="91"/>
      <c r="C151" s="92"/>
      <c r="D151" s="93"/>
      <c r="E151" s="96"/>
      <c r="F151" s="112" t="s">
        <v>30</v>
      </c>
      <c r="G151" s="107" t="s">
        <v>207</v>
      </c>
      <c r="H151" s="322">
        <v>35000000</v>
      </c>
      <c r="I151" s="322">
        <v>0</v>
      </c>
      <c r="J151" s="322">
        <v>0</v>
      </c>
      <c r="K151" s="322">
        <v>0</v>
      </c>
      <c r="L151" s="322">
        <v>0</v>
      </c>
      <c r="M151" s="322">
        <v>0</v>
      </c>
      <c r="N151" s="322">
        <v>0</v>
      </c>
      <c r="O151" s="322">
        <v>0</v>
      </c>
      <c r="P151" s="322">
        <v>0</v>
      </c>
      <c r="Q151" s="322">
        <v>0</v>
      </c>
      <c r="R151" s="322">
        <v>0</v>
      </c>
      <c r="S151" s="322">
        <v>0</v>
      </c>
      <c r="T151" s="322">
        <v>0</v>
      </c>
      <c r="U151" s="322">
        <f t="shared" si="54"/>
        <v>0</v>
      </c>
      <c r="V151" s="248">
        <f t="shared" si="50"/>
        <v>35000000</v>
      </c>
      <c r="W151" s="35"/>
      <c r="X151" s="247">
        <v>0</v>
      </c>
    </row>
    <row r="152" spans="2:24" ht="12.75">
      <c r="B152" s="91"/>
      <c r="C152" s="92"/>
      <c r="D152" s="93"/>
      <c r="E152" s="96" t="s">
        <v>198</v>
      </c>
      <c r="F152" s="97"/>
      <c r="G152" s="98" t="s">
        <v>283</v>
      </c>
      <c r="H152" s="225">
        <f>SUM(H153:H154)</f>
        <v>50962000</v>
      </c>
      <c r="I152" s="225">
        <f>SUM(I153:I154)</f>
        <v>4170706</v>
      </c>
      <c r="J152" s="225">
        <f aca="true" t="shared" si="55" ref="J152:S152">SUM(J153:J154)</f>
        <v>4214649</v>
      </c>
      <c r="K152" s="225">
        <f t="shared" si="55"/>
        <v>4209948</v>
      </c>
      <c r="L152" s="225">
        <f t="shared" si="55"/>
        <v>4197440</v>
      </c>
      <c r="M152" s="225">
        <f t="shared" si="55"/>
        <v>4084195</v>
      </c>
      <c r="N152" s="225">
        <f>SUM(N153:N154)</f>
        <v>4250649</v>
      </c>
      <c r="O152" s="225">
        <f t="shared" si="55"/>
        <v>4269331</v>
      </c>
      <c r="P152" s="225">
        <f t="shared" si="55"/>
        <v>3858953</v>
      </c>
      <c r="Q152" s="225">
        <f t="shared" si="55"/>
        <v>3733161</v>
      </c>
      <c r="R152" s="225">
        <f t="shared" si="55"/>
        <v>0</v>
      </c>
      <c r="S152" s="225">
        <f t="shared" si="55"/>
        <v>0</v>
      </c>
      <c r="T152" s="225">
        <f>SUM(T153:T154)</f>
        <v>0</v>
      </c>
      <c r="U152" s="225">
        <f>SUM(U153:U154)</f>
        <v>36989032</v>
      </c>
      <c r="V152" s="246">
        <f t="shared" si="50"/>
        <v>13972968</v>
      </c>
      <c r="W152" s="37">
        <f>SUM(W153:W154)</f>
        <v>0</v>
      </c>
      <c r="X152" s="247">
        <f>SUM(U152/H152)*100</f>
        <v>72.58159412895884</v>
      </c>
    </row>
    <row r="153" spans="2:24" ht="12.75">
      <c r="B153" s="91"/>
      <c r="C153" s="92"/>
      <c r="D153" s="93"/>
      <c r="E153" s="96"/>
      <c r="F153" s="97" t="s">
        <v>14</v>
      </c>
      <c r="G153" s="98" t="s">
        <v>284</v>
      </c>
      <c r="H153" s="322">
        <v>50962000</v>
      </c>
      <c r="I153" s="322">
        <v>4170706</v>
      </c>
      <c r="J153" s="322">
        <v>4214649</v>
      </c>
      <c r="K153" s="322">
        <v>4209948</v>
      </c>
      <c r="L153" s="322">
        <v>4197440</v>
      </c>
      <c r="M153" s="322">
        <v>4084195</v>
      </c>
      <c r="N153" s="322">
        <v>4250649</v>
      </c>
      <c r="O153" s="322">
        <v>4269331</v>
      </c>
      <c r="P153" s="322">
        <v>3858953</v>
      </c>
      <c r="Q153" s="322">
        <v>3733161</v>
      </c>
      <c r="R153" s="322">
        <v>0</v>
      </c>
      <c r="S153" s="322">
        <v>0</v>
      </c>
      <c r="T153" s="322">
        <v>0</v>
      </c>
      <c r="U153" s="322">
        <f>SUM(I153:T153)</f>
        <v>36989032</v>
      </c>
      <c r="V153" s="248">
        <f t="shared" si="50"/>
        <v>13972968</v>
      </c>
      <c r="W153" s="35">
        <v>0</v>
      </c>
      <c r="X153" s="247">
        <f>SUM(U153/H153)*100</f>
        <v>72.58159412895884</v>
      </c>
    </row>
    <row r="154" spans="2:24" ht="12.75">
      <c r="B154" s="91"/>
      <c r="C154" s="92"/>
      <c r="D154" s="93"/>
      <c r="E154" s="96"/>
      <c r="F154" s="112" t="s">
        <v>30</v>
      </c>
      <c r="G154" s="107" t="s">
        <v>211</v>
      </c>
      <c r="H154" s="322">
        <v>0</v>
      </c>
      <c r="I154" s="322">
        <v>0</v>
      </c>
      <c r="J154" s="322">
        <v>0</v>
      </c>
      <c r="K154" s="322">
        <v>0</v>
      </c>
      <c r="L154" s="322">
        <v>0</v>
      </c>
      <c r="M154" s="322">
        <v>0</v>
      </c>
      <c r="N154" s="322">
        <v>0</v>
      </c>
      <c r="O154" s="322">
        <v>0</v>
      </c>
      <c r="P154" s="322">
        <v>0</v>
      </c>
      <c r="Q154" s="322">
        <v>0</v>
      </c>
      <c r="R154" s="322">
        <v>0</v>
      </c>
      <c r="S154" s="322">
        <v>0</v>
      </c>
      <c r="T154" s="322">
        <v>0</v>
      </c>
      <c r="U154" s="322">
        <f>SUM(I154:T154)</f>
        <v>0</v>
      </c>
      <c r="V154" s="248">
        <f t="shared" si="50"/>
        <v>0</v>
      </c>
      <c r="W154" s="35"/>
      <c r="X154" s="247">
        <v>0</v>
      </c>
    </row>
    <row r="155" spans="2:24" ht="12.75">
      <c r="B155" s="91"/>
      <c r="C155" s="92"/>
      <c r="D155" s="93"/>
      <c r="E155" s="96" t="s">
        <v>567</v>
      </c>
      <c r="F155" s="112"/>
      <c r="G155" s="98" t="s">
        <v>566</v>
      </c>
      <c r="H155" s="322">
        <v>46652000</v>
      </c>
      <c r="I155" s="322"/>
      <c r="J155" s="322"/>
      <c r="K155" s="322"/>
      <c r="L155" s="322"/>
      <c r="M155" s="322">
        <v>20812335</v>
      </c>
      <c r="N155" s="322"/>
      <c r="O155" s="322">
        <v>20129717</v>
      </c>
      <c r="P155" s="322"/>
      <c r="Q155" s="322"/>
      <c r="R155" s="322"/>
      <c r="S155" s="322"/>
      <c r="T155" s="322"/>
      <c r="U155" s="322">
        <f>SUM(I155:T155)</f>
        <v>40942052</v>
      </c>
      <c r="V155" s="248">
        <f t="shared" si="50"/>
        <v>5709948</v>
      </c>
      <c r="W155" s="35"/>
      <c r="X155" s="247">
        <f aca="true" t="shared" si="56" ref="X155:X160">SUM(U155/H155)*100</f>
        <v>87.76055045871558</v>
      </c>
    </row>
    <row r="156" spans="2:24" ht="12.75">
      <c r="B156" s="91" t="s">
        <v>159</v>
      </c>
      <c r="C156" s="92" t="s">
        <v>35</v>
      </c>
      <c r="D156" s="93" t="s">
        <v>17</v>
      </c>
      <c r="E156" s="92"/>
      <c r="F156" s="94"/>
      <c r="G156" s="95" t="s">
        <v>248</v>
      </c>
      <c r="H156" s="231">
        <f>SUM(H157+H158+H161)</f>
        <v>37404000</v>
      </c>
      <c r="I156" s="231">
        <f>SUM(I157+I158+I161)</f>
        <v>1867125</v>
      </c>
      <c r="J156" s="231">
        <f aca="true" t="shared" si="57" ref="J156:S156">SUM(J157+J158+J161)</f>
        <v>1861738</v>
      </c>
      <c r="K156" s="231">
        <f t="shared" si="57"/>
        <v>1851554</v>
      </c>
      <c r="L156" s="231">
        <f t="shared" si="57"/>
        <v>9115802</v>
      </c>
      <c r="M156" s="231">
        <f t="shared" si="57"/>
        <v>2716060</v>
      </c>
      <c r="N156" s="231">
        <f>SUM(N157+N158+N161)</f>
        <v>1781345</v>
      </c>
      <c r="O156" s="231">
        <f t="shared" si="57"/>
        <v>2774937</v>
      </c>
      <c r="P156" s="231">
        <f t="shared" si="57"/>
        <v>8902797</v>
      </c>
      <c r="Q156" s="231">
        <f t="shared" si="57"/>
        <v>1606621</v>
      </c>
      <c r="R156" s="231">
        <f t="shared" si="57"/>
        <v>0</v>
      </c>
      <c r="S156" s="231">
        <f t="shared" si="57"/>
        <v>0</v>
      </c>
      <c r="T156" s="231">
        <f>SUM(T157+T158+T161)</f>
        <v>0</v>
      </c>
      <c r="U156" s="231">
        <f>SUM(U157:U158)</f>
        <v>32477979</v>
      </c>
      <c r="V156" s="246">
        <f t="shared" si="50"/>
        <v>4926021</v>
      </c>
      <c r="W156" s="32">
        <f>SUM(W157+W158+W161)</f>
        <v>0</v>
      </c>
      <c r="X156" s="247">
        <f t="shared" si="56"/>
        <v>86.83022938723131</v>
      </c>
    </row>
    <row r="157" spans="2:24" ht="12.75">
      <c r="B157" s="91"/>
      <c r="C157" s="92"/>
      <c r="D157" s="93"/>
      <c r="E157" s="96" t="s">
        <v>14</v>
      </c>
      <c r="F157" s="97"/>
      <c r="G157" s="98" t="s">
        <v>249</v>
      </c>
      <c r="H157" s="322">
        <v>17718000</v>
      </c>
      <c r="I157" s="322">
        <v>0</v>
      </c>
      <c r="J157" s="322">
        <v>0</v>
      </c>
      <c r="K157" s="322">
        <v>0</v>
      </c>
      <c r="L157" s="322">
        <v>7257264</v>
      </c>
      <c r="M157" s="322">
        <v>0</v>
      </c>
      <c r="N157" s="322">
        <v>0</v>
      </c>
      <c r="O157" s="322">
        <v>0</v>
      </c>
      <c r="P157" s="322">
        <v>7257264</v>
      </c>
      <c r="Q157" s="322">
        <v>0</v>
      </c>
      <c r="R157" s="322">
        <v>0</v>
      </c>
      <c r="S157" s="322">
        <v>0</v>
      </c>
      <c r="T157" s="322">
        <v>0</v>
      </c>
      <c r="U157" s="322">
        <f>SUM(I157:T157)</f>
        <v>14514528</v>
      </c>
      <c r="V157" s="248">
        <f t="shared" si="50"/>
        <v>3203472</v>
      </c>
      <c r="W157" s="35"/>
      <c r="X157" s="247">
        <f t="shared" si="56"/>
        <v>81.91967490687436</v>
      </c>
    </row>
    <row r="158" spans="2:24" ht="12.75">
      <c r="B158" s="91"/>
      <c r="C158" s="92"/>
      <c r="D158" s="93"/>
      <c r="E158" s="96" t="s">
        <v>17</v>
      </c>
      <c r="F158" s="97"/>
      <c r="G158" s="98" t="s">
        <v>250</v>
      </c>
      <c r="H158" s="322">
        <f>SUM(H159:H160)</f>
        <v>17556000</v>
      </c>
      <c r="I158" s="322">
        <f>SUM(I159:I160)</f>
        <v>1867125</v>
      </c>
      <c r="J158" s="322">
        <f aca="true" t="shared" si="58" ref="J158:S158">SUM(J159:J160)</f>
        <v>1861738</v>
      </c>
      <c r="K158" s="322">
        <f t="shared" si="58"/>
        <v>1851554</v>
      </c>
      <c r="L158" s="322">
        <f t="shared" si="58"/>
        <v>1858538</v>
      </c>
      <c r="M158" s="322">
        <f t="shared" si="58"/>
        <v>2716060</v>
      </c>
      <c r="N158" s="322">
        <f>SUM(N159:N160)</f>
        <v>1781345</v>
      </c>
      <c r="O158" s="322">
        <f t="shared" si="58"/>
        <v>2774937</v>
      </c>
      <c r="P158" s="322">
        <f t="shared" si="58"/>
        <v>1645533</v>
      </c>
      <c r="Q158" s="322">
        <f t="shared" si="58"/>
        <v>1606621</v>
      </c>
      <c r="R158" s="322">
        <f t="shared" si="58"/>
        <v>0</v>
      </c>
      <c r="S158" s="322">
        <f t="shared" si="58"/>
        <v>0</v>
      </c>
      <c r="T158" s="322">
        <f>SUM(T159:T160)</f>
        <v>0</v>
      </c>
      <c r="U158" s="322">
        <f>SUM(I158:T158)</f>
        <v>17963451</v>
      </c>
      <c r="V158" s="248">
        <f t="shared" si="50"/>
        <v>-407451</v>
      </c>
      <c r="W158" s="20">
        <f>SUM(W159:W160)</f>
        <v>0</v>
      </c>
      <c r="X158" s="247">
        <f t="shared" si="56"/>
        <v>102.32086466165413</v>
      </c>
    </row>
    <row r="159" spans="2:24" ht="12.75">
      <c r="B159" s="91"/>
      <c r="C159" s="92"/>
      <c r="D159" s="93"/>
      <c r="E159" s="96"/>
      <c r="F159" s="97" t="s">
        <v>14</v>
      </c>
      <c r="G159" s="98" t="s">
        <v>250</v>
      </c>
      <c r="H159" s="322">
        <v>10294000</v>
      </c>
      <c r="I159" s="322">
        <v>1101691</v>
      </c>
      <c r="J159" s="322">
        <v>1098531</v>
      </c>
      <c r="K159" s="322">
        <v>1092560</v>
      </c>
      <c r="L159" s="322">
        <v>1099624</v>
      </c>
      <c r="M159" s="322">
        <v>1617428</v>
      </c>
      <c r="N159" s="322">
        <v>1062945</v>
      </c>
      <c r="O159" s="322">
        <v>1673358</v>
      </c>
      <c r="P159" s="322">
        <v>994039</v>
      </c>
      <c r="Q159" s="322">
        <v>971224</v>
      </c>
      <c r="R159" s="322">
        <v>0</v>
      </c>
      <c r="S159" s="322">
        <v>0</v>
      </c>
      <c r="T159" s="322">
        <v>0</v>
      </c>
      <c r="U159" s="322">
        <f>SUM(I159:T159)</f>
        <v>10711400</v>
      </c>
      <c r="V159" s="248">
        <f t="shared" si="50"/>
        <v>-417400</v>
      </c>
      <c r="W159" s="35">
        <v>0</v>
      </c>
      <c r="X159" s="247">
        <f t="shared" si="56"/>
        <v>104.05478919759084</v>
      </c>
    </row>
    <row r="160" spans="2:24" ht="12.75">
      <c r="B160" s="91"/>
      <c r="C160" s="92"/>
      <c r="D160" s="93"/>
      <c r="E160" s="96"/>
      <c r="F160" s="97" t="s">
        <v>17</v>
      </c>
      <c r="G160" s="98" t="s">
        <v>530</v>
      </c>
      <c r="H160" s="322">
        <v>7262000</v>
      </c>
      <c r="I160" s="322">
        <v>765434</v>
      </c>
      <c r="J160" s="322">
        <v>763207</v>
      </c>
      <c r="K160" s="322">
        <v>758994</v>
      </c>
      <c r="L160" s="322">
        <v>758914</v>
      </c>
      <c r="M160" s="322">
        <v>1098632</v>
      </c>
      <c r="N160" s="322">
        <v>718400</v>
      </c>
      <c r="O160" s="322">
        <v>1101579</v>
      </c>
      <c r="P160" s="322">
        <v>651494</v>
      </c>
      <c r="Q160" s="322">
        <v>635397</v>
      </c>
      <c r="R160" s="322">
        <v>0</v>
      </c>
      <c r="S160" s="322">
        <v>0</v>
      </c>
      <c r="T160" s="322">
        <v>0</v>
      </c>
      <c r="U160" s="322">
        <f>SUM(I160:T160)</f>
        <v>7252051</v>
      </c>
      <c r="V160" s="248">
        <f t="shared" si="50"/>
        <v>9949</v>
      </c>
      <c r="W160" s="35">
        <v>0</v>
      </c>
      <c r="X160" s="247">
        <f t="shared" si="56"/>
        <v>99.86299917378133</v>
      </c>
    </row>
    <row r="161" spans="2:24" ht="12.75">
      <c r="B161" s="91"/>
      <c r="C161" s="92"/>
      <c r="D161" s="93"/>
      <c r="E161" s="96" t="s">
        <v>22</v>
      </c>
      <c r="F161" s="97"/>
      <c r="G161" s="98" t="s">
        <v>530</v>
      </c>
      <c r="H161" s="322">
        <v>2130000</v>
      </c>
      <c r="I161" s="322">
        <v>0</v>
      </c>
      <c r="J161" s="322">
        <v>0</v>
      </c>
      <c r="K161" s="322">
        <v>0</v>
      </c>
      <c r="L161" s="322">
        <v>0</v>
      </c>
      <c r="M161" s="322">
        <v>0</v>
      </c>
      <c r="N161" s="322">
        <v>0</v>
      </c>
      <c r="O161" s="322">
        <v>0</v>
      </c>
      <c r="P161" s="322">
        <v>0</v>
      </c>
      <c r="Q161" s="322">
        <v>0</v>
      </c>
      <c r="R161" s="322">
        <v>0</v>
      </c>
      <c r="S161" s="322">
        <v>0</v>
      </c>
      <c r="T161" s="322">
        <v>0</v>
      </c>
      <c r="U161" s="322"/>
      <c r="V161" s="248"/>
      <c r="W161" s="35"/>
      <c r="X161" s="247"/>
    </row>
    <row r="162" spans="2:24" ht="12.75">
      <c r="B162" s="91" t="s">
        <v>159</v>
      </c>
      <c r="C162" s="92" t="s">
        <v>35</v>
      </c>
      <c r="D162" s="93" t="s">
        <v>22</v>
      </c>
      <c r="E162" s="92"/>
      <c r="F162" s="94"/>
      <c r="G162" s="95" t="s">
        <v>251</v>
      </c>
      <c r="H162" s="231">
        <f>SUM(H163+H166+H170)</f>
        <v>93962000</v>
      </c>
      <c r="I162" s="231">
        <f>SUM(I163+I166+I170)</f>
        <v>0</v>
      </c>
      <c r="J162" s="231">
        <f aca="true" t="shared" si="59" ref="J162:S162">SUM(J163+J166+J170)</f>
        <v>0</v>
      </c>
      <c r="K162" s="231">
        <f t="shared" si="59"/>
        <v>0</v>
      </c>
      <c r="L162" s="231">
        <f t="shared" si="59"/>
        <v>0</v>
      </c>
      <c r="M162" s="231">
        <f t="shared" si="59"/>
        <v>27216201</v>
      </c>
      <c r="N162" s="231">
        <f>SUM(N163+N166+N170)</f>
        <v>0</v>
      </c>
      <c r="O162" s="231">
        <f t="shared" si="59"/>
        <v>26007907</v>
      </c>
      <c r="P162" s="231">
        <f t="shared" si="59"/>
        <v>0</v>
      </c>
      <c r="Q162" s="231">
        <f t="shared" si="59"/>
        <v>0</v>
      </c>
      <c r="R162" s="231">
        <f t="shared" si="59"/>
        <v>0</v>
      </c>
      <c r="S162" s="231">
        <f t="shared" si="59"/>
        <v>0</v>
      </c>
      <c r="T162" s="231">
        <f>SUM(T163+T166+T170)</f>
        <v>0</v>
      </c>
      <c r="U162" s="231">
        <f>SUM(U163+U166+U170)</f>
        <v>53224108</v>
      </c>
      <c r="V162" s="246">
        <f aca="true" t="shared" si="60" ref="V162:V197">H162-U162</f>
        <v>40737892</v>
      </c>
      <c r="W162" s="41">
        <f>SUM(W163+W166+W170)</f>
        <v>0</v>
      </c>
      <c r="X162" s="247">
        <f>SUM(U162/H162)*100</f>
        <v>56.64429024499265</v>
      </c>
    </row>
    <row r="163" spans="2:24" ht="12.75">
      <c r="B163" s="91"/>
      <c r="C163" s="92"/>
      <c r="D163" s="93"/>
      <c r="E163" s="96" t="s">
        <v>14</v>
      </c>
      <c r="F163" s="97"/>
      <c r="G163" s="98" t="s">
        <v>252</v>
      </c>
      <c r="H163" s="225">
        <f>SUM(H164:H165)</f>
        <v>48655000</v>
      </c>
      <c r="I163" s="225">
        <f>SUM(I164:I165)</f>
        <v>0</v>
      </c>
      <c r="J163" s="225">
        <f aca="true" t="shared" si="61" ref="J163:S163">SUM(J164:J165)</f>
        <v>0</v>
      </c>
      <c r="K163" s="225">
        <f t="shared" si="61"/>
        <v>0</v>
      </c>
      <c r="L163" s="225">
        <f t="shared" si="61"/>
        <v>0</v>
      </c>
      <c r="M163" s="225">
        <f t="shared" si="61"/>
        <v>11321963</v>
      </c>
      <c r="N163" s="225">
        <f>SUM(N164:N165)</f>
        <v>0</v>
      </c>
      <c r="O163" s="225">
        <f t="shared" si="61"/>
        <v>10950618</v>
      </c>
      <c r="P163" s="225">
        <f t="shared" si="61"/>
        <v>0</v>
      </c>
      <c r="Q163" s="225">
        <f t="shared" si="61"/>
        <v>0</v>
      </c>
      <c r="R163" s="225">
        <f t="shared" si="61"/>
        <v>0</v>
      </c>
      <c r="S163" s="225">
        <f t="shared" si="61"/>
        <v>0</v>
      </c>
      <c r="T163" s="225">
        <f>SUM(T164:T165)</f>
        <v>0</v>
      </c>
      <c r="U163" s="225">
        <f>SUM(U164:U165)</f>
        <v>22272581</v>
      </c>
      <c r="V163" s="246">
        <f t="shared" si="60"/>
        <v>26382419</v>
      </c>
      <c r="W163" s="37">
        <f>SUM(W164:W165)</f>
        <v>0</v>
      </c>
      <c r="X163" s="247">
        <f>SUM(U163/H163)*100</f>
        <v>45.776551228034116</v>
      </c>
    </row>
    <row r="164" spans="2:24" ht="24">
      <c r="B164" s="91"/>
      <c r="C164" s="92"/>
      <c r="D164" s="93"/>
      <c r="E164" s="96"/>
      <c r="F164" s="97" t="s">
        <v>14</v>
      </c>
      <c r="G164" s="99" t="s">
        <v>253</v>
      </c>
      <c r="H164" s="322">
        <v>40655000</v>
      </c>
      <c r="I164" s="322">
        <v>0</v>
      </c>
      <c r="J164" s="322">
        <v>0</v>
      </c>
      <c r="K164" s="322">
        <v>0</v>
      </c>
      <c r="L164" s="322">
        <v>0</v>
      </c>
      <c r="M164" s="322">
        <v>11321963</v>
      </c>
      <c r="N164" s="322">
        <v>0</v>
      </c>
      <c r="O164" s="322">
        <v>10950618</v>
      </c>
      <c r="P164" s="322">
        <v>0</v>
      </c>
      <c r="Q164" s="322">
        <v>0</v>
      </c>
      <c r="R164" s="322">
        <v>0</v>
      </c>
      <c r="S164" s="322">
        <v>0</v>
      </c>
      <c r="T164" s="322">
        <v>0</v>
      </c>
      <c r="U164" s="322">
        <f aca="true" t="shared" si="62" ref="U164:U182">SUM(I164:T164)</f>
        <v>22272581</v>
      </c>
      <c r="V164" s="248">
        <f t="shared" si="60"/>
        <v>18382419</v>
      </c>
      <c r="W164" s="35"/>
      <c r="X164" s="247">
        <f>SUM(U164/H164)*100</f>
        <v>54.78435862747509</v>
      </c>
    </row>
    <row r="165" spans="2:24" ht="12.75">
      <c r="B165" s="91"/>
      <c r="C165" s="92"/>
      <c r="D165" s="93"/>
      <c r="E165" s="96"/>
      <c r="F165" s="97" t="s">
        <v>30</v>
      </c>
      <c r="G165" s="98" t="s">
        <v>532</v>
      </c>
      <c r="H165" s="322">
        <v>8000000</v>
      </c>
      <c r="I165" s="322">
        <v>0</v>
      </c>
      <c r="J165" s="322">
        <v>0</v>
      </c>
      <c r="K165" s="322">
        <v>0</v>
      </c>
      <c r="L165" s="322">
        <v>0</v>
      </c>
      <c r="M165" s="322">
        <v>0</v>
      </c>
      <c r="N165" s="322">
        <v>0</v>
      </c>
      <c r="O165" s="322">
        <v>0</v>
      </c>
      <c r="P165" s="322">
        <v>0</v>
      </c>
      <c r="Q165" s="322">
        <v>0</v>
      </c>
      <c r="R165" s="322">
        <v>0</v>
      </c>
      <c r="S165" s="322">
        <v>0</v>
      </c>
      <c r="T165" s="322">
        <v>0</v>
      </c>
      <c r="U165" s="322">
        <f t="shared" si="62"/>
        <v>0</v>
      </c>
      <c r="V165" s="248">
        <f t="shared" si="60"/>
        <v>8000000</v>
      </c>
      <c r="W165" s="35"/>
      <c r="X165" s="247">
        <v>0</v>
      </c>
    </row>
    <row r="166" spans="2:24" ht="12.75">
      <c r="B166" s="91"/>
      <c r="C166" s="92"/>
      <c r="D166" s="93"/>
      <c r="E166" s="96" t="s">
        <v>17</v>
      </c>
      <c r="F166" s="97"/>
      <c r="G166" s="98" t="s">
        <v>255</v>
      </c>
      <c r="H166" s="225">
        <f>SUM(H167:H169)</f>
        <v>45307000</v>
      </c>
      <c r="I166" s="225">
        <f>SUM(I167:I169)</f>
        <v>0</v>
      </c>
      <c r="J166" s="225">
        <f aca="true" t="shared" si="63" ref="J166:S166">SUM(J167:J169)</f>
        <v>0</v>
      </c>
      <c r="K166" s="225">
        <f t="shared" si="63"/>
        <v>0</v>
      </c>
      <c r="L166" s="225">
        <f t="shared" si="63"/>
        <v>0</v>
      </c>
      <c r="M166" s="225">
        <f t="shared" si="63"/>
        <v>15894238</v>
      </c>
      <c r="N166" s="225">
        <f>SUM(N167:N169)</f>
        <v>0</v>
      </c>
      <c r="O166" s="225">
        <f t="shared" si="63"/>
        <v>15057289</v>
      </c>
      <c r="P166" s="225">
        <f t="shared" si="63"/>
        <v>0</v>
      </c>
      <c r="Q166" s="225">
        <f t="shared" si="63"/>
        <v>0</v>
      </c>
      <c r="R166" s="225">
        <f t="shared" si="63"/>
        <v>0</v>
      </c>
      <c r="S166" s="225">
        <f t="shared" si="63"/>
        <v>0</v>
      </c>
      <c r="T166" s="225">
        <f>SUM(T167:T169)</f>
        <v>0</v>
      </c>
      <c r="U166" s="225">
        <f>SUM(U167:U169)</f>
        <v>30951527</v>
      </c>
      <c r="V166" s="246">
        <f t="shared" si="60"/>
        <v>14355473</v>
      </c>
      <c r="W166" s="37">
        <f>SUM(W167:W169)</f>
        <v>0</v>
      </c>
      <c r="X166" s="247">
        <f>SUM(U166/H166)*100</f>
        <v>68.31511024786457</v>
      </c>
    </row>
    <row r="167" spans="2:24" ht="24">
      <c r="B167" s="91"/>
      <c r="C167" s="92"/>
      <c r="D167" s="93"/>
      <c r="E167" s="96"/>
      <c r="F167" s="97" t="s">
        <v>14</v>
      </c>
      <c r="G167" s="99" t="s">
        <v>253</v>
      </c>
      <c r="H167" s="322">
        <v>40307000</v>
      </c>
      <c r="I167" s="322">
        <v>0</v>
      </c>
      <c r="J167" s="322">
        <v>0</v>
      </c>
      <c r="K167" s="322">
        <v>0</v>
      </c>
      <c r="L167" s="322">
        <v>0</v>
      </c>
      <c r="M167" s="322">
        <v>15894238</v>
      </c>
      <c r="N167" s="322">
        <v>0</v>
      </c>
      <c r="O167" s="322">
        <v>15057289</v>
      </c>
      <c r="P167" s="322">
        <v>0</v>
      </c>
      <c r="Q167" s="322">
        <v>0</v>
      </c>
      <c r="R167" s="322">
        <v>0</v>
      </c>
      <c r="S167" s="322">
        <v>0</v>
      </c>
      <c r="T167" s="322">
        <v>0</v>
      </c>
      <c r="U167" s="322">
        <f t="shared" si="62"/>
        <v>30951527</v>
      </c>
      <c r="V167" s="248">
        <f t="shared" si="60"/>
        <v>9355473</v>
      </c>
      <c r="W167" s="35"/>
      <c r="X167" s="247">
        <f>SUM(U167/H167)*100</f>
        <v>76.78945840672836</v>
      </c>
    </row>
    <row r="168" spans="2:24" ht="12.75" hidden="1">
      <c r="B168" s="91"/>
      <c r="C168" s="92"/>
      <c r="D168" s="93"/>
      <c r="E168" s="96"/>
      <c r="F168" s="97" t="s">
        <v>17</v>
      </c>
      <c r="G168" s="98" t="s">
        <v>256</v>
      </c>
      <c r="H168" s="322">
        <v>0</v>
      </c>
      <c r="I168" s="322">
        <v>0</v>
      </c>
      <c r="J168" s="322">
        <v>0</v>
      </c>
      <c r="K168" s="322">
        <v>0</v>
      </c>
      <c r="L168" s="322">
        <v>0</v>
      </c>
      <c r="M168" s="322">
        <v>0</v>
      </c>
      <c r="N168" s="322">
        <v>0</v>
      </c>
      <c r="O168" s="322">
        <v>0</v>
      </c>
      <c r="P168" s="322">
        <v>0</v>
      </c>
      <c r="Q168" s="322">
        <v>0</v>
      </c>
      <c r="R168" s="322">
        <v>0</v>
      </c>
      <c r="S168" s="322">
        <v>0</v>
      </c>
      <c r="T168" s="322">
        <v>0</v>
      </c>
      <c r="U168" s="322">
        <f t="shared" si="62"/>
        <v>0</v>
      </c>
      <c r="V168" s="248">
        <f t="shared" si="60"/>
        <v>0</v>
      </c>
      <c r="W168" s="35"/>
      <c r="X168" s="247">
        <v>0</v>
      </c>
    </row>
    <row r="169" spans="2:24" ht="12.75">
      <c r="B169" s="91"/>
      <c r="C169" s="92"/>
      <c r="D169" s="93"/>
      <c r="E169" s="96"/>
      <c r="F169" s="97" t="s">
        <v>30</v>
      </c>
      <c r="G169" s="99" t="s">
        <v>533</v>
      </c>
      <c r="H169" s="322">
        <v>5000000</v>
      </c>
      <c r="I169" s="322">
        <v>0</v>
      </c>
      <c r="J169" s="322">
        <v>0</v>
      </c>
      <c r="K169" s="322">
        <v>0</v>
      </c>
      <c r="L169" s="322">
        <v>0</v>
      </c>
      <c r="M169" s="322">
        <v>0</v>
      </c>
      <c r="N169" s="322">
        <v>0</v>
      </c>
      <c r="O169" s="322">
        <v>0</v>
      </c>
      <c r="P169" s="322">
        <v>0</v>
      </c>
      <c r="Q169" s="322">
        <v>0</v>
      </c>
      <c r="R169" s="322">
        <v>0</v>
      </c>
      <c r="S169" s="322">
        <v>0</v>
      </c>
      <c r="T169" s="322">
        <v>0</v>
      </c>
      <c r="U169" s="322">
        <f t="shared" si="62"/>
        <v>0</v>
      </c>
      <c r="V169" s="248">
        <f t="shared" si="60"/>
        <v>5000000</v>
      </c>
      <c r="W169" s="35"/>
      <c r="X169" s="247">
        <v>0</v>
      </c>
    </row>
    <row r="170" spans="2:24" ht="12.75" hidden="1">
      <c r="B170" s="91"/>
      <c r="C170" s="92"/>
      <c r="D170" s="93"/>
      <c r="E170" s="96" t="s">
        <v>22</v>
      </c>
      <c r="F170" s="97"/>
      <c r="G170" s="98" t="s">
        <v>258</v>
      </c>
      <c r="H170" s="225">
        <f>SUM(H171:H174)</f>
        <v>0</v>
      </c>
      <c r="I170" s="225">
        <f>SUM(I171:I174)</f>
        <v>0</v>
      </c>
      <c r="J170" s="225">
        <f aca="true" t="shared" si="64" ref="J170:S170">SUM(J171:J174)</f>
        <v>0</v>
      </c>
      <c r="K170" s="225">
        <f t="shared" si="64"/>
        <v>0</v>
      </c>
      <c r="L170" s="225">
        <f t="shared" si="64"/>
        <v>0</v>
      </c>
      <c r="M170" s="225">
        <f t="shared" si="64"/>
        <v>0</v>
      </c>
      <c r="N170" s="225">
        <f>SUM(N171:N174)</f>
        <v>0</v>
      </c>
      <c r="O170" s="225">
        <f t="shared" si="64"/>
        <v>0</v>
      </c>
      <c r="P170" s="225">
        <f t="shared" si="64"/>
        <v>0</v>
      </c>
      <c r="Q170" s="225">
        <f t="shared" si="64"/>
        <v>0</v>
      </c>
      <c r="R170" s="225">
        <f t="shared" si="64"/>
        <v>0</v>
      </c>
      <c r="S170" s="225">
        <f t="shared" si="64"/>
        <v>0</v>
      </c>
      <c r="T170" s="225">
        <f>SUM(T171:T174)</f>
        <v>0</v>
      </c>
      <c r="U170" s="225">
        <f>SUM(U171:U174)</f>
        <v>0</v>
      </c>
      <c r="V170" s="246">
        <f t="shared" si="60"/>
        <v>0</v>
      </c>
      <c r="W170" s="37">
        <f>SUM(W171:W174)</f>
        <v>0</v>
      </c>
      <c r="X170" s="247">
        <v>0</v>
      </c>
    </row>
    <row r="171" spans="2:24" ht="12.75" hidden="1">
      <c r="B171" s="109"/>
      <c r="C171" s="110"/>
      <c r="D171" s="111"/>
      <c r="E171" s="106"/>
      <c r="F171" s="112" t="s">
        <v>14</v>
      </c>
      <c r="G171" s="107" t="s">
        <v>260</v>
      </c>
      <c r="H171" s="322">
        <v>0</v>
      </c>
      <c r="I171" s="322">
        <v>0</v>
      </c>
      <c r="J171" s="322">
        <v>0</v>
      </c>
      <c r="K171" s="322">
        <v>0</v>
      </c>
      <c r="L171" s="322">
        <v>0</v>
      </c>
      <c r="M171" s="322">
        <v>0</v>
      </c>
      <c r="N171" s="322">
        <v>0</v>
      </c>
      <c r="O171" s="322">
        <v>0</v>
      </c>
      <c r="P171" s="322">
        <v>0</v>
      </c>
      <c r="Q171" s="322">
        <v>0</v>
      </c>
      <c r="R171" s="322">
        <v>0</v>
      </c>
      <c r="S171" s="322">
        <v>0</v>
      </c>
      <c r="T171" s="322">
        <v>0</v>
      </c>
      <c r="U171" s="322">
        <f t="shared" si="62"/>
        <v>0</v>
      </c>
      <c r="V171" s="248">
        <f t="shared" si="60"/>
        <v>0</v>
      </c>
      <c r="W171" s="35"/>
      <c r="X171" s="247">
        <v>0</v>
      </c>
    </row>
    <row r="172" spans="2:24" ht="12.75" hidden="1">
      <c r="B172" s="109"/>
      <c r="C172" s="110"/>
      <c r="D172" s="111"/>
      <c r="E172" s="106"/>
      <c r="F172" s="112" t="s">
        <v>17</v>
      </c>
      <c r="G172" s="107" t="s">
        <v>260</v>
      </c>
      <c r="H172" s="322">
        <v>0</v>
      </c>
      <c r="I172" s="322">
        <v>0</v>
      </c>
      <c r="J172" s="322">
        <v>0</v>
      </c>
      <c r="K172" s="322">
        <v>0</v>
      </c>
      <c r="L172" s="322">
        <v>0</v>
      </c>
      <c r="M172" s="322">
        <v>0</v>
      </c>
      <c r="N172" s="322">
        <v>0</v>
      </c>
      <c r="O172" s="322">
        <v>0</v>
      </c>
      <c r="P172" s="322">
        <v>0</v>
      </c>
      <c r="Q172" s="322">
        <v>0</v>
      </c>
      <c r="R172" s="322">
        <v>0</v>
      </c>
      <c r="S172" s="322">
        <v>0</v>
      </c>
      <c r="T172" s="322">
        <v>0</v>
      </c>
      <c r="U172" s="322">
        <f t="shared" si="62"/>
        <v>0</v>
      </c>
      <c r="V172" s="248">
        <f t="shared" si="60"/>
        <v>0</v>
      </c>
      <c r="W172" s="35"/>
      <c r="X172" s="247">
        <v>0</v>
      </c>
    </row>
    <row r="173" spans="2:24" ht="12.75" hidden="1">
      <c r="B173" s="109"/>
      <c r="C173" s="110"/>
      <c r="D173" s="111"/>
      <c r="E173" s="106"/>
      <c r="F173" s="112" t="s">
        <v>22</v>
      </c>
      <c r="G173" s="107" t="s">
        <v>261</v>
      </c>
      <c r="H173" s="322">
        <v>0</v>
      </c>
      <c r="I173" s="322">
        <v>0</v>
      </c>
      <c r="J173" s="322">
        <v>0</v>
      </c>
      <c r="K173" s="322">
        <v>0</v>
      </c>
      <c r="L173" s="322">
        <v>0</v>
      </c>
      <c r="M173" s="322">
        <v>0</v>
      </c>
      <c r="N173" s="322">
        <v>0</v>
      </c>
      <c r="O173" s="322">
        <v>0</v>
      </c>
      <c r="P173" s="322">
        <v>0</v>
      </c>
      <c r="Q173" s="322">
        <v>0</v>
      </c>
      <c r="R173" s="322">
        <v>0</v>
      </c>
      <c r="S173" s="322">
        <v>0</v>
      </c>
      <c r="T173" s="322">
        <v>0</v>
      </c>
      <c r="U173" s="322">
        <f t="shared" si="62"/>
        <v>0</v>
      </c>
      <c r="V173" s="248">
        <f t="shared" si="60"/>
        <v>0</v>
      </c>
      <c r="W173" s="35"/>
      <c r="X173" s="247">
        <v>0</v>
      </c>
    </row>
    <row r="174" spans="2:24" ht="24" hidden="1">
      <c r="B174" s="109"/>
      <c r="C174" s="110"/>
      <c r="D174" s="111"/>
      <c r="E174" s="106"/>
      <c r="F174" s="112" t="s">
        <v>28</v>
      </c>
      <c r="G174" s="108" t="s">
        <v>293</v>
      </c>
      <c r="H174" s="322">
        <v>0</v>
      </c>
      <c r="I174" s="322">
        <v>0</v>
      </c>
      <c r="J174" s="322">
        <v>0</v>
      </c>
      <c r="K174" s="322">
        <v>0</v>
      </c>
      <c r="L174" s="322">
        <v>0</v>
      </c>
      <c r="M174" s="322">
        <v>0</v>
      </c>
      <c r="N174" s="322">
        <v>0</v>
      </c>
      <c r="O174" s="322">
        <v>0</v>
      </c>
      <c r="P174" s="322">
        <v>0</v>
      </c>
      <c r="Q174" s="322">
        <v>0</v>
      </c>
      <c r="R174" s="322">
        <v>0</v>
      </c>
      <c r="S174" s="322">
        <v>0</v>
      </c>
      <c r="T174" s="322">
        <v>0</v>
      </c>
      <c r="U174" s="322">
        <f t="shared" si="62"/>
        <v>0</v>
      </c>
      <c r="V174" s="248">
        <f t="shared" si="60"/>
        <v>0</v>
      </c>
      <c r="W174" s="35"/>
      <c r="X174" s="247">
        <v>0</v>
      </c>
    </row>
    <row r="175" spans="2:24" ht="12.75">
      <c r="B175" s="91" t="s">
        <v>159</v>
      </c>
      <c r="C175" s="92" t="s">
        <v>35</v>
      </c>
      <c r="D175" s="93" t="s">
        <v>28</v>
      </c>
      <c r="E175" s="92"/>
      <c r="F175" s="94"/>
      <c r="G175" s="95" t="s">
        <v>263</v>
      </c>
      <c r="H175" s="231">
        <f>SUM(H176:H182)</f>
        <v>54475000</v>
      </c>
      <c r="I175" s="231">
        <f>SUM(I176:I182)</f>
        <v>4941490</v>
      </c>
      <c r="J175" s="231">
        <f aca="true" t="shared" si="65" ref="J175:S175">SUM(J176:J182)</f>
        <v>2810477</v>
      </c>
      <c r="K175" s="231">
        <f t="shared" si="65"/>
        <v>2867191</v>
      </c>
      <c r="L175" s="231">
        <f t="shared" si="65"/>
        <v>3845961</v>
      </c>
      <c r="M175" s="231">
        <f t="shared" si="65"/>
        <v>3764815</v>
      </c>
      <c r="N175" s="231">
        <f>SUM(N176:N182)</f>
        <v>3614329</v>
      </c>
      <c r="O175" s="231">
        <f t="shared" si="65"/>
        <v>4123099</v>
      </c>
      <c r="P175" s="231">
        <f t="shared" si="65"/>
        <v>4122811</v>
      </c>
      <c r="Q175" s="231">
        <f t="shared" si="65"/>
        <v>3833080</v>
      </c>
      <c r="R175" s="231">
        <f t="shared" si="65"/>
        <v>0</v>
      </c>
      <c r="S175" s="231">
        <f t="shared" si="65"/>
        <v>0</v>
      </c>
      <c r="T175" s="231">
        <f>SUM(T176:T182)</f>
        <v>0</v>
      </c>
      <c r="U175" s="231">
        <f>SUM(U176:U182)</f>
        <v>33923253</v>
      </c>
      <c r="V175" s="246">
        <f t="shared" si="60"/>
        <v>20551747</v>
      </c>
      <c r="W175" s="41">
        <f>SUM(W176:W182)</f>
        <v>0</v>
      </c>
      <c r="X175" s="247">
        <f aca="true" t="shared" si="66" ref="X175:X181">SUM(U175/H175)*100</f>
        <v>62.27306654428637</v>
      </c>
    </row>
    <row r="176" spans="2:24" ht="12.75" hidden="1">
      <c r="B176" s="91"/>
      <c r="C176" s="92"/>
      <c r="D176" s="93"/>
      <c r="E176" s="96" t="s">
        <v>14</v>
      </c>
      <c r="F176" s="97"/>
      <c r="G176" s="98" t="s">
        <v>264</v>
      </c>
      <c r="H176" s="322"/>
      <c r="I176" s="322"/>
      <c r="J176" s="322"/>
      <c r="K176" s="322"/>
      <c r="L176" s="322"/>
      <c r="M176" s="322"/>
      <c r="N176" s="322"/>
      <c r="O176" s="322"/>
      <c r="P176" s="322"/>
      <c r="Q176" s="322"/>
      <c r="R176" s="322"/>
      <c r="S176" s="322"/>
      <c r="T176" s="322"/>
      <c r="U176" s="322">
        <f t="shared" si="62"/>
        <v>0</v>
      </c>
      <c r="V176" s="248">
        <f t="shared" si="60"/>
        <v>0</v>
      </c>
      <c r="W176" s="35"/>
      <c r="X176" s="249" t="e">
        <f t="shared" si="66"/>
        <v>#DIV/0!</v>
      </c>
    </row>
    <row r="177" spans="2:24" ht="12.75" hidden="1">
      <c r="B177" s="91"/>
      <c r="C177" s="92"/>
      <c r="D177" s="93"/>
      <c r="E177" s="96" t="s">
        <v>17</v>
      </c>
      <c r="F177" s="97"/>
      <c r="G177" s="98" t="s">
        <v>265</v>
      </c>
      <c r="H177" s="322"/>
      <c r="I177" s="322"/>
      <c r="J177" s="322"/>
      <c r="K177" s="322"/>
      <c r="L177" s="322"/>
      <c r="M177" s="322"/>
      <c r="N177" s="322"/>
      <c r="O177" s="322"/>
      <c r="P177" s="322"/>
      <c r="Q177" s="322"/>
      <c r="R177" s="322"/>
      <c r="S177" s="322"/>
      <c r="T177" s="322"/>
      <c r="U177" s="322">
        <f t="shared" si="62"/>
        <v>0</v>
      </c>
      <c r="V177" s="248">
        <f t="shared" si="60"/>
        <v>0</v>
      </c>
      <c r="W177" s="35"/>
      <c r="X177" s="249" t="e">
        <f t="shared" si="66"/>
        <v>#DIV/0!</v>
      </c>
    </row>
    <row r="178" spans="2:24" ht="12.75" hidden="1">
      <c r="B178" s="91"/>
      <c r="C178" s="92"/>
      <c r="D178" s="93"/>
      <c r="E178" s="96" t="s">
        <v>22</v>
      </c>
      <c r="F178" s="97"/>
      <c r="G178" s="98" t="s">
        <v>266</v>
      </c>
      <c r="H178" s="322"/>
      <c r="I178" s="322"/>
      <c r="J178" s="322"/>
      <c r="K178" s="322"/>
      <c r="L178" s="322"/>
      <c r="M178" s="322"/>
      <c r="N178" s="322"/>
      <c r="O178" s="322"/>
      <c r="P178" s="322"/>
      <c r="Q178" s="322"/>
      <c r="R178" s="322"/>
      <c r="S178" s="322"/>
      <c r="T178" s="322"/>
      <c r="U178" s="322">
        <f t="shared" si="62"/>
        <v>0</v>
      </c>
      <c r="V178" s="248">
        <f t="shared" si="60"/>
        <v>0</v>
      </c>
      <c r="W178" s="35"/>
      <c r="X178" s="249" t="e">
        <f t="shared" si="66"/>
        <v>#DIV/0!</v>
      </c>
    </row>
    <row r="179" spans="2:24" ht="12.75" hidden="1">
      <c r="B179" s="91"/>
      <c r="C179" s="92"/>
      <c r="D179" s="93"/>
      <c r="E179" s="96" t="s">
        <v>28</v>
      </c>
      <c r="F179" s="97"/>
      <c r="G179" s="98" t="s">
        <v>267</v>
      </c>
      <c r="H179" s="322"/>
      <c r="I179" s="322"/>
      <c r="J179" s="322"/>
      <c r="K179" s="322"/>
      <c r="L179" s="322"/>
      <c r="M179" s="322"/>
      <c r="N179" s="322"/>
      <c r="O179" s="322"/>
      <c r="P179" s="322"/>
      <c r="Q179" s="322"/>
      <c r="R179" s="322"/>
      <c r="S179" s="322"/>
      <c r="T179" s="322"/>
      <c r="U179" s="322">
        <f t="shared" si="62"/>
        <v>0</v>
      </c>
      <c r="V179" s="248">
        <f t="shared" si="60"/>
        <v>0</v>
      </c>
      <c r="W179" s="35"/>
      <c r="X179" s="249" t="e">
        <f t="shared" si="66"/>
        <v>#DIV/0!</v>
      </c>
    </row>
    <row r="180" spans="2:24" ht="12.75">
      <c r="B180" s="91"/>
      <c r="C180" s="92"/>
      <c r="D180" s="93"/>
      <c r="E180" s="96" t="s">
        <v>54</v>
      </c>
      <c r="F180" s="97"/>
      <c r="G180" s="98" t="s">
        <v>268</v>
      </c>
      <c r="H180" s="322">
        <v>52375000</v>
      </c>
      <c r="I180" s="322">
        <v>4871193</v>
      </c>
      <c r="J180" s="322">
        <v>2704339</v>
      </c>
      <c r="K180" s="322">
        <v>2867191</v>
      </c>
      <c r="L180" s="322">
        <v>3637347</v>
      </c>
      <c r="M180" s="322">
        <v>3507681</v>
      </c>
      <c r="N180" s="322">
        <v>3357779</v>
      </c>
      <c r="O180" s="322">
        <v>3999745</v>
      </c>
      <c r="P180" s="322">
        <v>3964775</v>
      </c>
      <c r="Q180" s="322">
        <v>3471865</v>
      </c>
      <c r="R180" s="322">
        <v>0</v>
      </c>
      <c r="S180" s="322">
        <v>0</v>
      </c>
      <c r="T180" s="322">
        <v>0</v>
      </c>
      <c r="U180" s="322">
        <f t="shared" si="62"/>
        <v>32381915</v>
      </c>
      <c r="V180" s="248">
        <f t="shared" si="60"/>
        <v>19993085</v>
      </c>
      <c r="W180" s="35">
        <v>0</v>
      </c>
      <c r="X180" s="247">
        <f t="shared" si="66"/>
        <v>61.82704534606205</v>
      </c>
    </row>
    <row r="181" spans="2:24" ht="12.75">
      <c r="B181" s="91"/>
      <c r="C181" s="92"/>
      <c r="D181" s="93"/>
      <c r="E181" s="96" t="s">
        <v>57</v>
      </c>
      <c r="F181" s="97"/>
      <c r="G181" s="98" t="s">
        <v>269</v>
      </c>
      <c r="H181" s="322">
        <v>2100000</v>
      </c>
      <c r="I181" s="322">
        <v>70297</v>
      </c>
      <c r="J181" s="322">
        <v>106138</v>
      </c>
      <c r="K181" s="322">
        <v>0</v>
      </c>
      <c r="L181" s="322">
        <v>208614</v>
      </c>
      <c r="M181" s="322">
        <v>257134</v>
      </c>
      <c r="N181" s="322">
        <v>256550</v>
      </c>
      <c r="O181" s="322">
        <v>123354</v>
      </c>
      <c r="P181" s="322">
        <v>158036</v>
      </c>
      <c r="Q181" s="322">
        <v>361215</v>
      </c>
      <c r="R181" s="322">
        <v>0</v>
      </c>
      <c r="S181" s="322">
        <v>0</v>
      </c>
      <c r="T181" s="322">
        <v>0</v>
      </c>
      <c r="U181" s="322">
        <f t="shared" si="62"/>
        <v>1541338</v>
      </c>
      <c r="V181" s="248">
        <f t="shared" si="60"/>
        <v>558662</v>
      </c>
      <c r="W181" s="35">
        <v>0</v>
      </c>
      <c r="X181" s="247">
        <f t="shared" si="66"/>
        <v>73.39704761904761</v>
      </c>
    </row>
    <row r="182" spans="2:24" ht="12.75">
      <c r="B182" s="91"/>
      <c r="C182" s="92"/>
      <c r="D182" s="93"/>
      <c r="E182" s="96" t="s">
        <v>61</v>
      </c>
      <c r="F182" s="97"/>
      <c r="G182" s="98" t="s">
        <v>270</v>
      </c>
      <c r="H182" s="322">
        <v>0</v>
      </c>
      <c r="I182" s="322">
        <v>0</v>
      </c>
      <c r="J182" s="322">
        <v>0</v>
      </c>
      <c r="K182" s="322">
        <v>0</v>
      </c>
      <c r="L182" s="322">
        <v>0</v>
      </c>
      <c r="M182" s="322">
        <v>0</v>
      </c>
      <c r="N182" s="322">
        <v>0</v>
      </c>
      <c r="O182" s="322">
        <v>0</v>
      </c>
      <c r="P182" s="322">
        <v>0</v>
      </c>
      <c r="Q182" s="322">
        <v>0</v>
      </c>
      <c r="R182" s="322">
        <v>0</v>
      </c>
      <c r="S182" s="322">
        <v>0</v>
      </c>
      <c r="T182" s="322">
        <v>0</v>
      </c>
      <c r="U182" s="322">
        <f t="shared" si="62"/>
        <v>0</v>
      </c>
      <c r="V182" s="248">
        <f t="shared" si="60"/>
        <v>0</v>
      </c>
      <c r="W182" s="35"/>
      <c r="X182" s="247">
        <v>0</v>
      </c>
    </row>
    <row r="183" spans="2:24" ht="12.75">
      <c r="B183" s="91" t="s">
        <v>159</v>
      </c>
      <c r="C183" s="92" t="s">
        <v>35</v>
      </c>
      <c r="D183" s="93" t="s">
        <v>54</v>
      </c>
      <c r="E183" s="92"/>
      <c r="F183" s="94"/>
      <c r="G183" s="95" t="s">
        <v>271</v>
      </c>
      <c r="H183" s="231">
        <f>SUM(H184+H187+H188+H190)</f>
        <v>18050000</v>
      </c>
      <c r="I183" s="231">
        <f>SUM(I184+I187+I188+I190)</f>
        <v>0</v>
      </c>
      <c r="J183" s="231">
        <f aca="true" t="shared" si="67" ref="J183:S183">SUM(J184+J187+J188+J190)</f>
        <v>0</v>
      </c>
      <c r="K183" s="231">
        <f t="shared" si="67"/>
        <v>2306185</v>
      </c>
      <c r="L183" s="231">
        <f t="shared" si="67"/>
        <v>0</v>
      </c>
      <c r="M183" s="231">
        <f t="shared" si="67"/>
        <v>0</v>
      </c>
      <c r="N183" s="231">
        <f>SUM(N184+N187+N188+N190)</f>
        <v>1294095</v>
      </c>
      <c r="O183" s="231">
        <f t="shared" si="67"/>
        <v>0</v>
      </c>
      <c r="P183" s="231">
        <f t="shared" si="67"/>
        <v>0</v>
      </c>
      <c r="Q183" s="231">
        <f t="shared" si="67"/>
        <v>4978078</v>
      </c>
      <c r="R183" s="231">
        <f t="shared" si="67"/>
        <v>0</v>
      </c>
      <c r="S183" s="231">
        <f t="shared" si="67"/>
        <v>0</v>
      </c>
      <c r="T183" s="231">
        <f>SUM(T184+T187+T188+T190)</f>
        <v>0</v>
      </c>
      <c r="U183" s="231">
        <f>SUM(U184+U187+U188+U190)</f>
        <v>8578358</v>
      </c>
      <c r="V183" s="246">
        <f t="shared" si="60"/>
        <v>9471642</v>
      </c>
      <c r="W183" s="41">
        <f>SUM(W184+W187+W188+W190)</f>
        <v>0</v>
      </c>
      <c r="X183" s="247">
        <f aca="true" t="shared" si="68" ref="X183:X192">SUM(U183/H183)*100</f>
        <v>47.52552908587258</v>
      </c>
    </row>
    <row r="184" spans="2:24" ht="12.75">
      <c r="B184" s="91"/>
      <c r="C184" s="92"/>
      <c r="D184" s="93"/>
      <c r="E184" s="96" t="s">
        <v>14</v>
      </c>
      <c r="F184" s="97"/>
      <c r="G184" s="98" t="s">
        <v>272</v>
      </c>
      <c r="H184" s="225">
        <f>SUM(H185:H186)</f>
        <v>10500000</v>
      </c>
      <c r="I184" s="225">
        <f>SUM(I185:I186)</f>
        <v>0</v>
      </c>
      <c r="J184" s="225">
        <f aca="true" t="shared" si="69" ref="J184:S184">SUM(J185:J186)</f>
        <v>0</v>
      </c>
      <c r="K184" s="225">
        <f t="shared" si="69"/>
        <v>0</v>
      </c>
      <c r="L184" s="225">
        <f t="shared" si="69"/>
        <v>0</v>
      </c>
      <c r="M184" s="225">
        <f t="shared" si="69"/>
        <v>0</v>
      </c>
      <c r="N184" s="225">
        <f>SUM(N185:N186)</f>
        <v>0</v>
      </c>
      <c r="O184" s="225">
        <f t="shared" si="69"/>
        <v>0</v>
      </c>
      <c r="P184" s="225">
        <f t="shared" si="69"/>
        <v>0</v>
      </c>
      <c r="Q184" s="225">
        <f t="shared" si="69"/>
        <v>4978078</v>
      </c>
      <c r="R184" s="225">
        <f t="shared" si="69"/>
        <v>0</v>
      </c>
      <c r="S184" s="225">
        <f t="shared" si="69"/>
        <v>0</v>
      </c>
      <c r="T184" s="225">
        <f>SUM(T185:T186)</f>
        <v>0</v>
      </c>
      <c r="U184" s="225">
        <f>SUM(U185:U186)</f>
        <v>4978078</v>
      </c>
      <c r="V184" s="246">
        <f t="shared" si="60"/>
        <v>5521922</v>
      </c>
      <c r="W184" s="37">
        <f>SUM(W185:W186)</f>
        <v>0</v>
      </c>
      <c r="X184" s="247">
        <f t="shared" si="68"/>
        <v>47.410266666666665</v>
      </c>
    </row>
    <row r="185" spans="2:24" ht="12.75">
      <c r="B185" s="91"/>
      <c r="C185" s="92"/>
      <c r="D185" s="93"/>
      <c r="E185" s="96"/>
      <c r="F185" s="97" t="s">
        <v>14</v>
      </c>
      <c r="G185" s="98" t="s">
        <v>273</v>
      </c>
      <c r="H185" s="322">
        <v>6000000</v>
      </c>
      <c r="I185" s="322">
        <v>0</v>
      </c>
      <c r="J185" s="322">
        <v>0</v>
      </c>
      <c r="K185" s="322">
        <v>0</v>
      </c>
      <c r="L185" s="322">
        <v>0</v>
      </c>
      <c r="M185" s="322">
        <v>0</v>
      </c>
      <c r="N185" s="322">
        <v>0</v>
      </c>
      <c r="O185" s="322">
        <v>0</v>
      </c>
      <c r="P185" s="322">
        <v>0</v>
      </c>
      <c r="Q185" s="322">
        <v>4978078</v>
      </c>
      <c r="R185" s="322">
        <v>0</v>
      </c>
      <c r="S185" s="322">
        <v>0</v>
      </c>
      <c r="T185" s="322">
        <v>0</v>
      </c>
      <c r="U185" s="322">
        <f aca="true" t="shared" si="70" ref="U185:U201">SUM(I185:T185)</f>
        <v>4978078</v>
      </c>
      <c r="V185" s="248">
        <f t="shared" si="60"/>
        <v>1021922</v>
      </c>
      <c r="W185" s="35"/>
      <c r="X185" s="247">
        <f t="shared" si="68"/>
        <v>82.96796666666667</v>
      </c>
    </row>
    <row r="186" spans="2:24" ht="12.75">
      <c r="B186" s="91"/>
      <c r="C186" s="92"/>
      <c r="D186" s="93"/>
      <c r="E186" s="96"/>
      <c r="F186" s="97" t="s">
        <v>17</v>
      </c>
      <c r="G186" s="98" t="s">
        <v>274</v>
      </c>
      <c r="H186" s="322">
        <v>4500000</v>
      </c>
      <c r="I186" s="322">
        <v>0</v>
      </c>
      <c r="J186" s="322">
        <v>0</v>
      </c>
      <c r="K186" s="322">
        <v>0</v>
      </c>
      <c r="L186" s="322">
        <v>0</v>
      </c>
      <c r="M186" s="322">
        <v>0</v>
      </c>
      <c r="N186" s="322">
        <v>0</v>
      </c>
      <c r="O186" s="322">
        <v>0</v>
      </c>
      <c r="P186" s="322">
        <v>0</v>
      </c>
      <c r="Q186" s="322">
        <v>0</v>
      </c>
      <c r="R186" s="322">
        <v>0</v>
      </c>
      <c r="S186" s="322">
        <v>0</v>
      </c>
      <c r="T186" s="322">
        <v>0</v>
      </c>
      <c r="U186" s="322">
        <f t="shared" si="70"/>
        <v>0</v>
      </c>
      <c r="V186" s="248">
        <f t="shared" si="60"/>
        <v>4500000</v>
      </c>
      <c r="W186" s="35"/>
      <c r="X186" s="247">
        <f t="shared" si="68"/>
        <v>0</v>
      </c>
    </row>
    <row r="187" spans="2:24" ht="12.75">
      <c r="B187" s="91"/>
      <c r="C187" s="92"/>
      <c r="D187" s="93"/>
      <c r="E187" s="96" t="s">
        <v>17</v>
      </c>
      <c r="F187" s="97"/>
      <c r="G187" s="98" t="s">
        <v>275</v>
      </c>
      <c r="H187" s="322">
        <v>3150000</v>
      </c>
      <c r="I187" s="322">
        <v>0</v>
      </c>
      <c r="J187" s="322">
        <v>0</v>
      </c>
      <c r="K187" s="322">
        <v>1391670</v>
      </c>
      <c r="L187" s="322">
        <v>0</v>
      </c>
      <c r="M187" s="322">
        <v>0</v>
      </c>
      <c r="N187" s="322">
        <v>1267966</v>
      </c>
      <c r="O187" s="322">
        <v>0</v>
      </c>
      <c r="P187" s="322">
        <v>0</v>
      </c>
      <c r="Q187" s="322">
        <v>0</v>
      </c>
      <c r="R187" s="322">
        <v>0</v>
      </c>
      <c r="S187" s="322">
        <v>0</v>
      </c>
      <c r="T187" s="322">
        <v>0</v>
      </c>
      <c r="U187" s="322">
        <f t="shared" si="70"/>
        <v>2659636</v>
      </c>
      <c r="V187" s="248">
        <f t="shared" si="60"/>
        <v>490364</v>
      </c>
      <c r="W187" s="35">
        <v>0</v>
      </c>
      <c r="X187" s="247">
        <f t="shared" si="68"/>
        <v>84.4328888888889</v>
      </c>
    </row>
    <row r="188" spans="2:24" ht="12.75">
      <c r="B188" s="91"/>
      <c r="C188" s="92"/>
      <c r="D188" s="93"/>
      <c r="E188" s="96" t="s">
        <v>22</v>
      </c>
      <c r="F188" s="97"/>
      <c r="G188" s="98" t="s">
        <v>276</v>
      </c>
      <c r="H188" s="225">
        <f aca="true" t="shared" si="71" ref="H188:W188">SUM(H189)</f>
        <v>3500000</v>
      </c>
      <c r="I188" s="225">
        <f t="shared" si="71"/>
        <v>0</v>
      </c>
      <c r="J188" s="225">
        <f t="shared" si="71"/>
        <v>0</v>
      </c>
      <c r="K188" s="225">
        <f t="shared" si="71"/>
        <v>0</v>
      </c>
      <c r="L188" s="225">
        <f t="shared" si="71"/>
        <v>0</v>
      </c>
      <c r="M188" s="225">
        <f t="shared" si="71"/>
        <v>0</v>
      </c>
      <c r="N188" s="225">
        <f t="shared" si="71"/>
        <v>0</v>
      </c>
      <c r="O188" s="225">
        <f t="shared" si="71"/>
        <v>0</v>
      </c>
      <c r="P188" s="225">
        <f t="shared" si="71"/>
        <v>0</v>
      </c>
      <c r="Q188" s="225">
        <f t="shared" si="71"/>
        <v>0</v>
      </c>
      <c r="R188" s="225">
        <f t="shared" si="71"/>
        <v>0</v>
      </c>
      <c r="S188" s="225">
        <f t="shared" si="71"/>
        <v>0</v>
      </c>
      <c r="T188" s="225">
        <f t="shared" si="71"/>
        <v>0</v>
      </c>
      <c r="U188" s="225">
        <f t="shared" si="71"/>
        <v>0</v>
      </c>
      <c r="V188" s="246">
        <f t="shared" si="60"/>
        <v>3500000</v>
      </c>
      <c r="W188" s="37">
        <f t="shared" si="71"/>
        <v>0</v>
      </c>
      <c r="X188" s="247">
        <f t="shared" si="68"/>
        <v>0</v>
      </c>
    </row>
    <row r="189" spans="2:24" ht="12.75">
      <c r="B189" s="91"/>
      <c r="C189" s="92"/>
      <c r="D189" s="93"/>
      <c r="E189" s="96"/>
      <c r="F189" s="97" t="s">
        <v>14</v>
      </c>
      <c r="G189" s="98" t="s">
        <v>277</v>
      </c>
      <c r="H189" s="322">
        <v>3500000</v>
      </c>
      <c r="I189" s="322">
        <v>0</v>
      </c>
      <c r="J189" s="322">
        <v>0</v>
      </c>
      <c r="K189" s="322">
        <v>0</v>
      </c>
      <c r="L189" s="322">
        <v>0</v>
      </c>
      <c r="M189" s="322">
        <v>0</v>
      </c>
      <c r="N189" s="322">
        <v>0</v>
      </c>
      <c r="O189" s="322">
        <v>0</v>
      </c>
      <c r="P189" s="322">
        <v>0</v>
      </c>
      <c r="Q189" s="322">
        <v>0</v>
      </c>
      <c r="R189" s="322">
        <v>0</v>
      </c>
      <c r="S189" s="322">
        <v>0</v>
      </c>
      <c r="T189" s="322">
        <v>0</v>
      </c>
      <c r="U189" s="322">
        <f t="shared" si="70"/>
        <v>0</v>
      </c>
      <c r="V189" s="248">
        <f t="shared" si="60"/>
        <v>3500000</v>
      </c>
      <c r="W189" s="35"/>
      <c r="X189" s="247">
        <f t="shared" si="68"/>
        <v>0</v>
      </c>
    </row>
    <row r="190" spans="2:24" ht="12.75">
      <c r="B190" s="91"/>
      <c r="C190" s="92"/>
      <c r="D190" s="93"/>
      <c r="E190" s="96" t="s">
        <v>28</v>
      </c>
      <c r="F190" s="97"/>
      <c r="G190" s="98" t="s">
        <v>278</v>
      </c>
      <c r="H190" s="322">
        <v>900000</v>
      </c>
      <c r="I190" s="322">
        <v>0</v>
      </c>
      <c r="J190" s="322">
        <v>0</v>
      </c>
      <c r="K190" s="322">
        <v>914515</v>
      </c>
      <c r="L190" s="322">
        <v>0</v>
      </c>
      <c r="M190" s="322">
        <v>0</v>
      </c>
      <c r="N190" s="322">
        <v>26129</v>
      </c>
      <c r="O190" s="322">
        <v>0</v>
      </c>
      <c r="P190" s="322">
        <v>0</v>
      </c>
      <c r="Q190" s="322">
        <v>0</v>
      </c>
      <c r="R190" s="322">
        <v>0</v>
      </c>
      <c r="S190" s="322">
        <v>0</v>
      </c>
      <c r="T190" s="322">
        <v>0</v>
      </c>
      <c r="U190" s="322">
        <f t="shared" si="70"/>
        <v>940644</v>
      </c>
      <c r="V190" s="248">
        <f t="shared" si="60"/>
        <v>-40644</v>
      </c>
      <c r="W190" s="35">
        <v>0</v>
      </c>
      <c r="X190" s="247">
        <f t="shared" si="68"/>
        <v>104.516</v>
      </c>
    </row>
    <row r="191" spans="2:24" ht="12.75">
      <c r="B191" s="86" t="s">
        <v>159</v>
      </c>
      <c r="C191" s="87" t="s">
        <v>10</v>
      </c>
      <c r="D191" s="88"/>
      <c r="E191" s="87"/>
      <c r="F191" s="89"/>
      <c r="G191" s="90" t="s">
        <v>294</v>
      </c>
      <c r="H191" s="226">
        <f>SUM(H192:H199)</f>
        <v>623719000</v>
      </c>
      <c r="I191" s="226">
        <f>SUM(I192:I199)</f>
        <v>21370095</v>
      </c>
      <c r="J191" s="226">
        <f aca="true" t="shared" si="72" ref="J191:S191">SUM(J192:J199)</f>
        <v>78203585</v>
      </c>
      <c r="K191" s="226">
        <f t="shared" si="72"/>
        <v>47731559</v>
      </c>
      <c r="L191" s="226">
        <f t="shared" si="72"/>
        <v>50919452</v>
      </c>
      <c r="M191" s="226">
        <f t="shared" si="72"/>
        <v>50252838</v>
      </c>
      <c r="N191" s="226">
        <f>SUM(N192:N199)</f>
        <v>48364582</v>
      </c>
      <c r="O191" s="226">
        <f t="shared" si="72"/>
        <v>43882764</v>
      </c>
      <c r="P191" s="226">
        <f t="shared" si="72"/>
        <v>41228779</v>
      </c>
      <c r="Q191" s="226">
        <f t="shared" si="72"/>
        <v>55608710</v>
      </c>
      <c r="R191" s="226">
        <f t="shared" si="72"/>
        <v>0</v>
      </c>
      <c r="S191" s="226">
        <f t="shared" si="72"/>
        <v>0</v>
      </c>
      <c r="T191" s="226">
        <f>SUM(T192:T199)</f>
        <v>0</v>
      </c>
      <c r="U191" s="226">
        <f>SUM(U192:U199)</f>
        <v>437562364</v>
      </c>
      <c r="V191" s="243">
        <f t="shared" si="60"/>
        <v>186156636</v>
      </c>
      <c r="W191" s="241">
        <f>SUM(W192:W199)</f>
        <v>5119904</v>
      </c>
      <c r="X191" s="245">
        <f t="shared" si="68"/>
        <v>70.15376539755883</v>
      </c>
    </row>
    <row r="192" spans="2:24" ht="12.75">
      <c r="B192" s="91" t="s">
        <v>159</v>
      </c>
      <c r="C192" s="92" t="s">
        <v>10</v>
      </c>
      <c r="D192" s="93" t="s">
        <v>14</v>
      </c>
      <c r="E192" s="96"/>
      <c r="F192" s="97"/>
      <c r="G192" s="95" t="s">
        <v>295</v>
      </c>
      <c r="H192" s="322">
        <v>497590000</v>
      </c>
      <c r="I192" s="322">
        <v>15969419</v>
      </c>
      <c r="J192" s="322">
        <v>36386579</v>
      </c>
      <c r="K192" s="322">
        <v>42057032</v>
      </c>
      <c r="L192" s="322">
        <v>45899754</v>
      </c>
      <c r="M192" s="322">
        <v>44910904</v>
      </c>
      <c r="N192" s="322">
        <v>43060079</v>
      </c>
      <c r="O192" s="322">
        <v>39625439</v>
      </c>
      <c r="P192" s="322">
        <v>41228779</v>
      </c>
      <c r="Q192" s="322">
        <v>45154293</v>
      </c>
      <c r="R192" s="322">
        <v>0</v>
      </c>
      <c r="S192" s="322">
        <v>0</v>
      </c>
      <c r="T192" s="322">
        <v>0</v>
      </c>
      <c r="U192" s="322">
        <f t="shared" si="70"/>
        <v>354292278</v>
      </c>
      <c r="V192" s="248">
        <f t="shared" si="60"/>
        <v>143297722</v>
      </c>
      <c r="W192" s="35">
        <v>0</v>
      </c>
      <c r="X192" s="247">
        <f t="shared" si="68"/>
        <v>71.20164754114833</v>
      </c>
    </row>
    <row r="193" spans="2:24" ht="12.75">
      <c r="B193" s="91" t="s">
        <v>159</v>
      </c>
      <c r="C193" s="92" t="s">
        <v>10</v>
      </c>
      <c r="D193" s="93" t="s">
        <v>17</v>
      </c>
      <c r="E193" s="96"/>
      <c r="F193" s="97"/>
      <c r="G193" s="95" t="s">
        <v>296</v>
      </c>
      <c r="H193" s="322">
        <v>0</v>
      </c>
      <c r="I193" s="322">
        <v>0</v>
      </c>
      <c r="J193" s="322">
        <v>0</v>
      </c>
      <c r="K193" s="322">
        <v>0</v>
      </c>
      <c r="L193" s="322">
        <v>0</v>
      </c>
      <c r="M193" s="322">
        <v>0</v>
      </c>
      <c r="N193" s="322">
        <v>0</v>
      </c>
      <c r="O193" s="322">
        <v>0</v>
      </c>
      <c r="P193" s="322">
        <v>0</v>
      </c>
      <c r="Q193" s="322">
        <v>0</v>
      </c>
      <c r="R193" s="322">
        <v>0</v>
      </c>
      <c r="S193" s="322">
        <v>0</v>
      </c>
      <c r="T193" s="322">
        <v>0</v>
      </c>
      <c r="U193" s="322">
        <f t="shared" si="70"/>
        <v>0</v>
      </c>
      <c r="V193" s="248">
        <f t="shared" si="60"/>
        <v>0</v>
      </c>
      <c r="W193" s="35"/>
      <c r="X193" s="247">
        <v>0</v>
      </c>
    </row>
    <row r="194" spans="2:24" ht="12.75">
      <c r="B194" s="91" t="s">
        <v>159</v>
      </c>
      <c r="C194" s="92" t="s">
        <v>10</v>
      </c>
      <c r="D194" s="93" t="s">
        <v>22</v>
      </c>
      <c r="E194" s="96"/>
      <c r="F194" s="97"/>
      <c r="G194" s="95" t="s">
        <v>297</v>
      </c>
      <c r="H194" s="322">
        <v>0</v>
      </c>
      <c r="I194" s="322">
        <v>0</v>
      </c>
      <c r="J194" s="322">
        <v>0</v>
      </c>
      <c r="K194" s="322">
        <v>0</v>
      </c>
      <c r="L194" s="322">
        <v>0</v>
      </c>
      <c r="M194" s="322">
        <v>0</v>
      </c>
      <c r="N194" s="322">
        <v>0</v>
      </c>
      <c r="O194" s="322">
        <v>0</v>
      </c>
      <c r="P194" s="322">
        <v>0</v>
      </c>
      <c r="Q194" s="322">
        <v>0</v>
      </c>
      <c r="R194" s="322">
        <v>0</v>
      </c>
      <c r="S194" s="322">
        <v>0</v>
      </c>
      <c r="T194" s="322">
        <v>0</v>
      </c>
      <c r="U194" s="322">
        <f t="shared" si="70"/>
        <v>0</v>
      </c>
      <c r="V194" s="248">
        <f t="shared" si="60"/>
        <v>0</v>
      </c>
      <c r="W194" s="35"/>
      <c r="X194" s="247">
        <v>0</v>
      </c>
    </row>
    <row r="195" spans="2:24" ht="12.75">
      <c r="B195" s="91" t="s">
        <v>159</v>
      </c>
      <c r="C195" s="92" t="s">
        <v>10</v>
      </c>
      <c r="D195" s="93" t="s">
        <v>28</v>
      </c>
      <c r="E195" s="96"/>
      <c r="F195" s="97"/>
      <c r="G195" s="95" t="s">
        <v>298</v>
      </c>
      <c r="H195" s="322">
        <v>53292000</v>
      </c>
      <c r="I195" s="322">
        <f>4018544+70880+84525+59635+1167092</f>
        <v>5400676</v>
      </c>
      <c r="J195" s="322">
        <f>3548916+66992+76870+54235+1167092</f>
        <v>4914105</v>
      </c>
      <c r="K195" s="322">
        <f>4180660+83551+88000+62087+1136545+123684</f>
        <v>5674527</v>
      </c>
      <c r="L195" s="322">
        <f>3643740+69192+78511+55391+1172864</f>
        <v>5019698</v>
      </c>
      <c r="M195" s="322">
        <f>3971265+69836+78416+55325+1167092</f>
        <v>5341934</v>
      </c>
      <c r="N195" s="322">
        <f>3821376+66283+80430+56746+1155964+123704</f>
        <v>5304503</v>
      </c>
      <c r="O195" s="322">
        <f>2942778+48451+66748+47093+1152255</f>
        <v>4257325</v>
      </c>
      <c r="P195" s="322">
        <v>0</v>
      </c>
      <c r="Q195" s="322">
        <f>6949644+102075+164445+99180+2821073+318000</f>
        <v>10454417</v>
      </c>
      <c r="R195" s="322">
        <v>0</v>
      </c>
      <c r="S195" s="322">
        <v>0</v>
      </c>
      <c r="T195" s="322">
        <v>0</v>
      </c>
      <c r="U195" s="322">
        <f t="shared" si="70"/>
        <v>46367185</v>
      </c>
      <c r="V195" s="248">
        <f t="shared" si="60"/>
        <v>6924815</v>
      </c>
      <c r="W195" s="35">
        <v>5119904</v>
      </c>
      <c r="X195" s="247">
        <f>SUM(U195/H195)*100</f>
        <v>87.00590144862268</v>
      </c>
    </row>
    <row r="196" spans="2:24" ht="12.75">
      <c r="B196" s="91" t="s">
        <v>159</v>
      </c>
      <c r="C196" s="92" t="s">
        <v>10</v>
      </c>
      <c r="D196" s="93" t="s">
        <v>54</v>
      </c>
      <c r="E196" s="96"/>
      <c r="F196" s="97"/>
      <c r="G196" s="95" t="s">
        <v>299</v>
      </c>
      <c r="H196" s="322">
        <v>25000000</v>
      </c>
      <c r="I196" s="322">
        <v>0</v>
      </c>
      <c r="J196" s="322">
        <v>0</v>
      </c>
      <c r="K196" s="322">
        <v>0</v>
      </c>
      <c r="L196" s="322">
        <v>0</v>
      </c>
      <c r="M196" s="322">
        <v>0</v>
      </c>
      <c r="N196" s="322">
        <v>0</v>
      </c>
      <c r="O196" s="322">
        <v>0</v>
      </c>
      <c r="P196" s="322">
        <v>0</v>
      </c>
      <c r="Q196" s="322">
        <v>0</v>
      </c>
      <c r="R196" s="322">
        <v>0</v>
      </c>
      <c r="S196" s="322">
        <v>0</v>
      </c>
      <c r="T196" s="322">
        <v>0</v>
      </c>
      <c r="U196" s="322">
        <f t="shared" si="70"/>
        <v>0</v>
      </c>
      <c r="V196" s="248">
        <f t="shared" si="60"/>
        <v>25000000</v>
      </c>
      <c r="W196" s="35"/>
      <c r="X196" s="247">
        <f>SUM(U196/H196)*100</f>
        <v>0</v>
      </c>
    </row>
    <row r="197" spans="2:24" ht="12.75">
      <c r="B197" s="91" t="s">
        <v>159</v>
      </c>
      <c r="C197" s="92" t="s">
        <v>10</v>
      </c>
      <c r="D197" s="93" t="s">
        <v>57</v>
      </c>
      <c r="E197" s="96"/>
      <c r="F197" s="97"/>
      <c r="G197" s="95" t="s">
        <v>300</v>
      </c>
      <c r="H197" s="322">
        <v>47837000</v>
      </c>
      <c r="I197" s="322">
        <v>0</v>
      </c>
      <c r="J197" s="322">
        <f>32966108+914422+537353+373079+2111939</f>
        <v>36902901</v>
      </c>
      <c r="K197" s="322">
        <v>0</v>
      </c>
      <c r="L197" s="322">
        <v>0</v>
      </c>
      <c r="M197" s="322">
        <v>0</v>
      </c>
      <c r="N197" s="322">
        <v>0</v>
      </c>
      <c r="O197" s="322">
        <v>0</v>
      </c>
      <c r="P197" s="322">
        <v>0</v>
      </c>
      <c r="Q197" s="322">
        <v>0</v>
      </c>
      <c r="R197" s="322">
        <v>0</v>
      </c>
      <c r="S197" s="322">
        <v>0</v>
      </c>
      <c r="T197" s="322">
        <v>0</v>
      </c>
      <c r="U197" s="322">
        <f t="shared" si="70"/>
        <v>36902901</v>
      </c>
      <c r="V197" s="248">
        <f t="shared" si="60"/>
        <v>10934099</v>
      </c>
      <c r="W197" s="35"/>
      <c r="X197" s="247">
        <f>SUM(U197/H197)*100</f>
        <v>77.14300854986725</v>
      </c>
    </row>
    <row r="198" spans="2:24" ht="12.75">
      <c r="B198" s="91" t="s">
        <v>159</v>
      </c>
      <c r="C198" s="92" t="s">
        <v>10</v>
      </c>
      <c r="D198" s="93" t="s">
        <v>61</v>
      </c>
      <c r="E198" s="96"/>
      <c r="F198" s="97"/>
      <c r="G198" s="95" t="s">
        <v>301</v>
      </c>
      <c r="H198" s="322">
        <v>0</v>
      </c>
      <c r="I198" s="322">
        <v>0</v>
      </c>
      <c r="J198" s="322">
        <v>0</v>
      </c>
      <c r="K198" s="322">
        <v>0</v>
      </c>
      <c r="L198" s="322">
        <v>0</v>
      </c>
      <c r="M198" s="322">
        <v>0</v>
      </c>
      <c r="N198" s="322">
        <v>0</v>
      </c>
      <c r="O198" s="322">
        <v>0</v>
      </c>
      <c r="P198" s="322">
        <v>0</v>
      </c>
      <c r="Q198" s="322">
        <v>0</v>
      </c>
      <c r="R198" s="322">
        <v>0</v>
      </c>
      <c r="S198" s="322">
        <v>0</v>
      </c>
      <c r="T198" s="322">
        <v>0</v>
      </c>
      <c r="U198" s="322"/>
      <c r="V198" s="248"/>
      <c r="W198" s="35"/>
      <c r="X198" s="247"/>
    </row>
    <row r="199" spans="2:24" ht="12.75" hidden="1">
      <c r="B199" s="91" t="s">
        <v>159</v>
      </c>
      <c r="C199" s="92" t="s">
        <v>10</v>
      </c>
      <c r="D199" s="93" t="s">
        <v>30</v>
      </c>
      <c r="E199" s="96"/>
      <c r="F199" s="97"/>
      <c r="G199" s="95" t="s">
        <v>34</v>
      </c>
      <c r="H199" s="225">
        <f>SUM(H200:H201)</f>
        <v>0</v>
      </c>
      <c r="I199" s="225">
        <f>SUM(I200:I201)</f>
        <v>0</v>
      </c>
      <c r="J199" s="225">
        <f aca="true" t="shared" si="73" ref="J199:S199">SUM(J200:J201)</f>
        <v>0</v>
      </c>
      <c r="K199" s="225">
        <f t="shared" si="73"/>
        <v>0</v>
      </c>
      <c r="L199" s="225">
        <f t="shared" si="73"/>
        <v>0</v>
      </c>
      <c r="M199" s="225">
        <f t="shared" si="73"/>
        <v>0</v>
      </c>
      <c r="N199" s="225">
        <f>SUM(N200:N201)</f>
        <v>0</v>
      </c>
      <c r="O199" s="225">
        <f t="shared" si="73"/>
        <v>0</v>
      </c>
      <c r="P199" s="225">
        <f t="shared" si="73"/>
        <v>0</v>
      </c>
      <c r="Q199" s="225">
        <f t="shared" si="73"/>
        <v>0</v>
      </c>
      <c r="R199" s="225">
        <f t="shared" si="73"/>
        <v>0</v>
      </c>
      <c r="S199" s="225">
        <f t="shared" si="73"/>
        <v>0</v>
      </c>
      <c r="T199" s="225">
        <f>SUM(T200:T201)</f>
        <v>0</v>
      </c>
      <c r="U199" s="225">
        <f>SUM(U200:U201)</f>
        <v>0</v>
      </c>
      <c r="V199" s="246">
        <f aca="true" t="shared" si="74" ref="V199:V218">H199-U199</f>
        <v>0</v>
      </c>
      <c r="W199" s="37">
        <f>SUM(W200:W201)</f>
        <v>0</v>
      </c>
      <c r="X199" s="247">
        <v>0</v>
      </c>
    </row>
    <row r="200" spans="2:24" ht="12.75" hidden="1">
      <c r="B200" s="91"/>
      <c r="C200" s="92"/>
      <c r="D200" s="93"/>
      <c r="E200" s="97" t="s">
        <v>14</v>
      </c>
      <c r="F200" s="119"/>
      <c r="G200" s="98" t="s">
        <v>302</v>
      </c>
      <c r="H200" s="322"/>
      <c r="I200" s="322"/>
      <c r="J200" s="322"/>
      <c r="K200" s="322"/>
      <c r="L200" s="322"/>
      <c r="M200" s="322"/>
      <c r="N200" s="322"/>
      <c r="O200" s="322"/>
      <c r="P200" s="322"/>
      <c r="Q200" s="322"/>
      <c r="R200" s="322"/>
      <c r="S200" s="322"/>
      <c r="T200" s="322"/>
      <c r="U200" s="322">
        <f t="shared" si="70"/>
        <v>0</v>
      </c>
      <c r="V200" s="248">
        <f t="shared" si="74"/>
        <v>0</v>
      </c>
      <c r="W200" s="35"/>
      <c r="X200" s="247">
        <v>0</v>
      </c>
    </row>
    <row r="201" spans="2:24" ht="12.75" hidden="1">
      <c r="B201" s="91"/>
      <c r="C201" s="92"/>
      <c r="D201" s="93"/>
      <c r="E201" s="97" t="s">
        <v>30</v>
      </c>
      <c r="F201" s="119"/>
      <c r="G201" s="98" t="s">
        <v>34</v>
      </c>
      <c r="H201" s="322"/>
      <c r="I201" s="322"/>
      <c r="J201" s="322"/>
      <c r="K201" s="322"/>
      <c r="L201" s="322"/>
      <c r="M201" s="322"/>
      <c r="N201" s="322"/>
      <c r="O201" s="322"/>
      <c r="P201" s="322"/>
      <c r="Q201" s="322"/>
      <c r="R201" s="322"/>
      <c r="S201" s="322"/>
      <c r="T201" s="322"/>
      <c r="U201" s="322">
        <f t="shared" si="70"/>
        <v>0</v>
      </c>
      <c r="V201" s="248">
        <f t="shared" si="74"/>
        <v>0</v>
      </c>
      <c r="W201" s="35"/>
      <c r="X201" s="247">
        <v>0</v>
      </c>
    </row>
    <row r="202" spans="2:24" ht="12.75">
      <c r="B202" s="86" t="s">
        <v>159</v>
      </c>
      <c r="C202" s="87" t="s">
        <v>73</v>
      </c>
      <c r="D202" s="88"/>
      <c r="E202" s="87"/>
      <c r="F202" s="89"/>
      <c r="G202" s="90" t="s">
        <v>303</v>
      </c>
      <c r="H202" s="226">
        <f>SUM(H203+H205+H220)</f>
        <v>1497714000</v>
      </c>
      <c r="I202" s="226">
        <f>SUM(I203+I205+I220)</f>
        <v>112230940</v>
      </c>
      <c r="J202" s="226">
        <f aca="true" t="shared" si="75" ref="J202:S202">SUM(J203+J205+J220)</f>
        <v>118508035</v>
      </c>
      <c r="K202" s="226">
        <f t="shared" si="75"/>
        <v>117751716</v>
      </c>
      <c r="L202" s="226">
        <f t="shared" si="75"/>
        <v>129945304</v>
      </c>
      <c r="M202" s="226">
        <f t="shared" si="75"/>
        <v>120295645</v>
      </c>
      <c r="N202" s="226">
        <f>SUM(N203+N205+N220)</f>
        <v>136273782</v>
      </c>
      <c r="O202" s="226">
        <f t="shared" si="75"/>
        <v>114691663</v>
      </c>
      <c r="P202" s="226">
        <f t="shared" si="75"/>
        <v>115988323</v>
      </c>
      <c r="Q202" s="226">
        <f t="shared" si="75"/>
        <v>113986712</v>
      </c>
      <c r="R202" s="226">
        <f t="shared" si="75"/>
        <v>0</v>
      </c>
      <c r="S202" s="226">
        <f t="shared" si="75"/>
        <v>0</v>
      </c>
      <c r="T202" s="226">
        <f>SUM(T203+T205+T220)</f>
        <v>0</v>
      </c>
      <c r="U202" s="226">
        <f>SUM(U203+U205+U220)</f>
        <v>1079672120</v>
      </c>
      <c r="V202" s="243">
        <f t="shared" si="74"/>
        <v>418041880</v>
      </c>
      <c r="W202" s="226">
        <f>SUM(W203+W205+W220)</f>
        <v>140000</v>
      </c>
      <c r="X202" s="247">
        <f>SUM(U202/H202)*100</f>
        <v>72.08800345059203</v>
      </c>
    </row>
    <row r="203" spans="2:24" ht="12.75">
      <c r="B203" s="91" t="s">
        <v>159</v>
      </c>
      <c r="C203" s="92" t="s">
        <v>73</v>
      </c>
      <c r="D203" s="93" t="s">
        <v>14</v>
      </c>
      <c r="E203" s="92"/>
      <c r="F203" s="94"/>
      <c r="G203" s="95" t="s">
        <v>304</v>
      </c>
      <c r="H203" s="225">
        <f aca="true" t="shared" si="76" ref="H203:W203">SUM(H204)</f>
        <v>5348000</v>
      </c>
      <c r="I203" s="225">
        <f t="shared" si="76"/>
        <v>0</v>
      </c>
      <c r="J203" s="225">
        <f t="shared" si="76"/>
        <v>0</v>
      </c>
      <c r="K203" s="225">
        <f t="shared" si="76"/>
        <v>0</v>
      </c>
      <c r="L203" s="225">
        <f t="shared" si="76"/>
        <v>0</v>
      </c>
      <c r="M203" s="225">
        <f t="shared" si="76"/>
        <v>0</v>
      </c>
      <c r="N203" s="225">
        <f t="shared" si="76"/>
        <v>0</v>
      </c>
      <c r="O203" s="225">
        <f t="shared" si="76"/>
        <v>0</v>
      </c>
      <c r="P203" s="225">
        <f t="shared" si="76"/>
        <v>0</v>
      </c>
      <c r="Q203" s="225">
        <f t="shared" si="76"/>
        <v>0</v>
      </c>
      <c r="R203" s="225">
        <f t="shared" si="76"/>
        <v>0</v>
      </c>
      <c r="S203" s="225">
        <f t="shared" si="76"/>
        <v>0</v>
      </c>
      <c r="T203" s="225">
        <f t="shared" si="76"/>
        <v>0</v>
      </c>
      <c r="U203" s="225">
        <f t="shared" si="76"/>
        <v>0</v>
      </c>
      <c r="V203" s="246">
        <f t="shared" si="74"/>
        <v>5348000</v>
      </c>
      <c r="W203" s="37">
        <f t="shared" si="76"/>
        <v>0</v>
      </c>
      <c r="X203" s="247">
        <v>0</v>
      </c>
    </row>
    <row r="204" spans="2:24" ht="12.75" hidden="1">
      <c r="B204" s="91"/>
      <c r="C204" s="92"/>
      <c r="D204" s="93"/>
      <c r="E204" s="97" t="s">
        <v>14</v>
      </c>
      <c r="F204" s="119"/>
      <c r="G204" s="98" t="s">
        <v>676</v>
      </c>
      <c r="H204" s="322">
        <v>5348000</v>
      </c>
      <c r="I204" s="322"/>
      <c r="J204" s="322"/>
      <c r="K204" s="322"/>
      <c r="L204" s="322"/>
      <c r="M204" s="322"/>
      <c r="N204" s="322"/>
      <c r="O204" s="322"/>
      <c r="P204" s="322"/>
      <c r="Q204" s="322"/>
      <c r="R204" s="322"/>
      <c r="S204" s="322"/>
      <c r="T204" s="322"/>
      <c r="U204" s="322">
        <f aca="true" t="shared" si="77" ref="U204:U214">SUM(I204:T204)</f>
        <v>0</v>
      </c>
      <c r="V204" s="248">
        <f t="shared" si="74"/>
        <v>5348000</v>
      </c>
      <c r="W204" s="35"/>
      <c r="X204" s="247">
        <v>0</v>
      </c>
    </row>
    <row r="205" spans="2:24" ht="12.75">
      <c r="B205" s="91" t="s">
        <v>159</v>
      </c>
      <c r="C205" s="92" t="s">
        <v>73</v>
      </c>
      <c r="D205" s="111" t="s">
        <v>22</v>
      </c>
      <c r="E205" s="110"/>
      <c r="F205" s="120"/>
      <c r="G205" s="121" t="s">
        <v>306</v>
      </c>
      <c r="H205" s="322">
        <f>SUM(H206+H207+H219)</f>
        <v>145124000</v>
      </c>
      <c r="I205" s="322">
        <f>SUM(I206+I207+I219)</f>
        <v>11396390</v>
      </c>
      <c r="J205" s="322">
        <f aca="true" t="shared" si="78" ref="J205:S205">SUM(J206+J207+J219)</f>
        <v>7080598</v>
      </c>
      <c r="K205" s="322">
        <f t="shared" si="78"/>
        <v>9171781</v>
      </c>
      <c r="L205" s="322">
        <f t="shared" si="78"/>
        <v>17166043</v>
      </c>
      <c r="M205" s="322">
        <f t="shared" si="78"/>
        <v>8644320</v>
      </c>
      <c r="N205" s="322">
        <f>SUM(N206+N207+N219)</f>
        <v>7906408</v>
      </c>
      <c r="O205" s="322">
        <f t="shared" si="78"/>
        <v>9622623</v>
      </c>
      <c r="P205" s="322">
        <f t="shared" si="78"/>
        <v>9562720</v>
      </c>
      <c r="Q205" s="322">
        <f t="shared" si="78"/>
        <v>7774228</v>
      </c>
      <c r="R205" s="322">
        <f t="shared" si="78"/>
        <v>0</v>
      </c>
      <c r="S205" s="322">
        <f t="shared" si="78"/>
        <v>0</v>
      </c>
      <c r="T205" s="322">
        <f>SUM(T206+T207+T219)</f>
        <v>0</v>
      </c>
      <c r="U205" s="322">
        <f t="shared" si="77"/>
        <v>88325111</v>
      </c>
      <c r="V205" s="248">
        <f t="shared" si="74"/>
        <v>56798889</v>
      </c>
      <c r="W205" s="322">
        <f>SUM(W206+W207+W219)</f>
        <v>140000</v>
      </c>
      <c r="X205" s="247">
        <f aca="true" t="shared" si="79" ref="X205:X218">SUM(U205/H205)*100</f>
        <v>60.86182230368512</v>
      </c>
    </row>
    <row r="206" spans="2:24" ht="12.75">
      <c r="B206" s="91" t="s">
        <v>159</v>
      </c>
      <c r="C206" s="92" t="s">
        <v>73</v>
      </c>
      <c r="D206" s="111" t="s">
        <v>22</v>
      </c>
      <c r="E206" s="110" t="s">
        <v>14</v>
      </c>
      <c r="F206" s="120"/>
      <c r="G206" s="121" t="s">
        <v>552</v>
      </c>
      <c r="H206" s="322">
        <v>89786000</v>
      </c>
      <c r="I206" s="322">
        <v>3408322</v>
      </c>
      <c r="J206" s="322">
        <v>6414905</v>
      </c>
      <c r="K206" s="322">
        <v>6711900</v>
      </c>
      <c r="L206" s="322">
        <v>6718610</v>
      </c>
      <c r="M206" s="322">
        <v>6745440</v>
      </c>
      <c r="N206" s="322">
        <v>6785840</v>
      </c>
      <c r="O206" s="322">
        <v>6826560</v>
      </c>
      <c r="P206" s="322">
        <v>6840290</v>
      </c>
      <c r="Q206" s="322">
        <v>6904450</v>
      </c>
      <c r="R206" s="322">
        <v>0</v>
      </c>
      <c r="S206" s="322">
        <v>0</v>
      </c>
      <c r="T206" s="322">
        <v>0</v>
      </c>
      <c r="U206" s="322">
        <f t="shared" si="77"/>
        <v>57356317</v>
      </c>
      <c r="V206" s="248">
        <f t="shared" si="74"/>
        <v>32429683</v>
      </c>
      <c r="W206" s="322">
        <v>0</v>
      </c>
      <c r="X206" s="247">
        <f t="shared" si="79"/>
        <v>63.881136257322964</v>
      </c>
    </row>
    <row r="207" spans="2:24" ht="12.75">
      <c r="B207" s="91" t="s">
        <v>159</v>
      </c>
      <c r="C207" s="92" t="s">
        <v>73</v>
      </c>
      <c r="D207" s="111" t="s">
        <v>22</v>
      </c>
      <c r="E207" s="110" t="s">
        <v>17</v>
      </c>
      <c r="F207" s="120"/>
      <c r="G207" s="121" t="s">
        <v>553</v>
      </c>
      <c r="H207" s="322">
        <v>55338000</v>
      </c>
      <c r="I207" s="322">
        <f>SUM(I208:I218)</f>
        <v>7988068</v>
      </c>
      <c r="J207" s="322">
        <f>SUM(J208:J218)</f>
        <v>665693</v>
      </c>
      <c r="K207" s="322">
        <f>SUM(K208:K218)</f>
        <v>2459881</v>
      </c>
      <c r="L207" s="322">
        <v>10447433</v>
      </c>
      <c r="M207" s="322">
        <v>1898880</v>
      </c>
      <c r="N207" s="322">
        <v>1120568</v>
      </c>
      <c r="O207" s="322">
        <v>2796063</v>
      </c>
      <c r="P207" s="322">
        <v>2722430</v>
      </c>
      <c r="Q207" s="322">
        <v>869778</v>
      </c>
      <c r="R207" s="322">
        <f>SUM(R208:R218)</f>
        <v>0</v>
      </c>
      <c r="S207" s="322">
        <f>SUM(S208:S218)</f>
        <v>0</v>
      </c>
      <c r="T207" s="322">
        <f>SUM(T208:T218)</f>
        <v>0</v>
      </c>
      <c r="U207" s="322">
        <f t="shared" si="77"/>
        <v>30968794</v>
      </c>
      <c r="V207" s="248">
        <f t="shared" si="74"/>
        <v>24369206</v>
      </c>
      <c r="W207" s="322">
        <v>140000</v>
      </c>
      <c r="X207" s="247">
        <f t="shared" si="79"/>
        <v>55.96298023058296</v>
      </c>
    </row>
    <row r="208" spans="2:24" ht="12.75" hidden="1">
      <c r="B208" s="91"/>
      <c r="C208" s="92"/>
      <c r="D208" s="111"/>
      <c r="E208" s="110" t="s">
        <v>17</v>
      </c>
      <c r="F208" s="120" t="s">
        <v>14</v>
      </c>
      <c r="G208" s="121" t="s">
        <v>548</v>
      </c>
      <c r="H208" s="322">
        <v>6000000</v>
      </c>
      <c r="I208" s="322">
        <v>4153790</v>
      </c>
      <c r="J208" s="322">
        <v>-194720</v>
      </c>
      <c r="K208" s="322">
        <v>0</v>
      </c>
      <c r="L208" s="322">
        <v>0</v>
      </c>
      <c r="M208" s="322">
        <v>0</v>
      </c>
      <c r="N208" s="322">
        <v>0</v>
      </c>
      <c r="O208" s="322">
        <v>0</v>
      </c>
      <c r="P208" s="322">
        <v>0</v>
      </c>
      <c r="Q208" s="322">
        <v>0</v>
      </c>
      <c r="R208" s="322">
        <v>0</v>
      </c>
      <c r="S208" s="322">
        <v>0</v>
      </c>
      <c r="T208" s="322">
        <v>0</v>
      </c>
      <c r="U208" s="322">
        <f t="shared" si="77"/>
        <v>3959070</v>
      </c>
      <c r="V208" s="248">
        <f t="shared" si="74"/>
        <v>2040930</v>
      </c>
      <c r="W208" s="35"/>
      <c r="X208" s="247">
        <f t="shared" si="79"/>
        <v>65.9845</v>
      </c>
    </row>
    <row r="209" spans="2:24" ht="12.75" hidden="1">
      <c r="B209" s="91"/>
      <c r="C209" s="92"/>
      <c r="D209" s="111"/>
      <c r="E209" s="110" t="s">
        <v>17</v>
      </c>
      <c r="F209" s="120" t="s">
        <v>17</v>
      </c>
      <c r="G209" s="121" t="s">
        <v>554</v>
      </c>
      <c r="H209" s="322">
        <v>6000000</v>
      </c>
      <c r="I209" s="322">
        <v>0</v>
      </c>
      <c r="J209" s="322">
        <v>0</v>
      </c>
      <c r="K209" s="322">
        <v>0</v>
      </c>
      <c r="L209" s="322">
        <v>0</v>
      </c>
      <c r="M209" s="322">
        <v>0</v>
      </c>
      <c r="N209" s="322">
        <v>0</v>
      </c>
      <c r="O209" s="322">
        <v>0</v>
      </c>
      <c r="P209" s="322">
        <v>0</v>
      </c>
      <c r="Q209" s="322">
        <v>0</v>
      </c>
      <c r="R209" s="322">
        <v>0</v>
      </c>
      <c r="S209" s="322">
        <v>0</v>
      </c>
      <c r="T209" s="322">
        <v>0</v>
      </c>
      <c r="U209" s="322">
        <f t="shared" si="77"/>
        <v>0</v>
      </c>
      <c r="V209" s="248">
        <f t="shared" si="74"/>
        <v>6000000</v>
      </c>
      <c r="W209" s="35"/>
      <c r="X209" s="247">
        <f t="shared" si="79"/>
        <v>0</v>
      </c>
    </row>
    <row r="210" spans="2:24" ht="12.75" hidden="1">
      <c r="B210" s="91"/>
      <c r="C210" s="92"/>
      <c r="D210" s="111"/>
      <c r="E210" s="110" t="s">
        <v>17</v>
      </c>
      <c r="F210" s="120" t="s">
        <v>22</v>
      </c>
      <c r="G210" s="121" t="s">
        <v>549</v>
      </c>
      <c r="H210" s="322">
        <v>6000000</v>
      </c>
      <c r="I210" s="322">
        <v>337498</v>
      </c>
      <c r="J210" s="322">
        <v>703507</v>
      </c>
      <c r="K210" s="322">
        <v>0</v>
      </c>
      <c r="L210" s="322">
        <v>0</v>
      </c>
      <c r="M210" s="322">
        <v>0</v>
      </c>
      <c r="N210" s="322">
        <v>0</v>
      </c>
      <c r="O210" s="322">
        <v>0</v>
      </c>
      <c r="P210" s="322">
        <v>0</v>
      </c>
      <c r="Q210" s="322">
        <v>0</v>
      </c>
      <c r="R210" s="322">
        <v>0</v>
      </c>
      <c r="S210" s="322">
        <v>0</v>
      </c>
      <c r="T210" s="322">
        <v>0</v>
      </c>
      <c r="U210" s="322">
        <f t="shared" si="77"/>
        <v>1041005</v>
      </c>
      <c r="V210" s="248">
        <f t="shared" si="74"/>
        <v>4958995</v>
      </c>
      <c r="W210" s="35"/>
      <c r="X210" s="247">
        <f t="shared" si="79"/>
        <v>17.350083333333334</v>
      </c>
    </row>
    <row r="211" spans="2:24" ht="12.75" hidden="1">
      <c r="B211" s="91"/>
      <c r="C211" s="92"/>
      <c r="D211" s="111"/>
      <c r="E211" s="110" t="s">
        <v>17</v>
      </c>
      <c r="F211" s="120" t="s">
        <v>28</v>
      </c>
      <c r="G211" s="121" t="s">
        <v>645</v>
      </c>
      <c r="H211" s="322">
        <v>6000000</v>
      </c>
      <c r="I211" s="322">
        <v>1451278</v>
      </c>
      <c r="J211" s="322">
        <v>-334000</v>
      </c>
      <c r="K211" s="322">
        <v>1751375</v>
      </c>
      <c r="L211" s="322">
        <v>0</v>
      </c>
      <c r="M211" s="322">
        <v>0</v>
      </c>
      <c r="N211" s="322">
        <v>0</v>
      </c>
      <c r="O211" s="322">
        <v>0</v>
      </c>
      <c r="P211" s="322">
        <v>0</v>
      </c>
      <c r="Q211" s="322">
        <v>0</v>
      </c>
      <c r="R211" s="322">
        <v>0</v>
      </c>
      <c r="S211" s="322">
        <v>0</v>
      </c>
      <c r="T211" s="322"/>
      <c r="U211" s="322">
        <f t="shared" si="77"/>
        <v>2868653</v>
      </c>
      <c r="V211" s="248">
        <f t="shared" si="74"/>
        <v>3131347</v>
      </c>
      <c r="W211" s="35"/>
      <c r="X211" s="247">
        <f t="shared" si="79"/>
        <v>47.81088333333333</v>
      </c>
    </row>
    <row r="212" spans="2:24" ht="12.75" hidden="1">
      <c r="B212" s="91"/>
      <c r="C212" s="92"/>
      <c r="D212" s="111"/>
      <c r="E212" s="110" t="s">
        <v>17</v>
      </c>
      <c r="F212" s="120" t="s">
        <v>54</v>
      </c>
      <c r="G212" s="121" t="s">
        <v>550</v>
      </c>
      <c r="H212" s="322">
        <v>0</v>
      </c>
      <c r="I212" s="322">
        <v>0</v>
      </c>
      <c r="J212" s="322">
        <v>0</v>
      </c>
      <c r="K212" s="322">
        <v>0</v>
      </c>
      <c r="L212" s="322">
        <v>0</v>
      </c>
      <c r="M212" s="322">
        <v>0</v>
      </c>
      <c r="N212" s="322">
        <v>0</v>
      </c>
      <c r="O212" s="322">
        <v>0</v>
      </c>
      <c r="P212" s="322">
        <v>0</v>
      </c>
      <c r="Q212" s="322">
        <v>0</v>
      </c>
      <c r="R212" s="322">
        <v>0</v>
      </c>
      <c r="S212" s="322">
        <v>0</v>
      </c>
      <c r="T212" s="322">
        <v>0</v>
      </c>
      <c r="U212" s="322">
        <f t="shared" si="77"/>
        <v>0</v>
      </c>
      <c r="V212" s="248">
        <f t="shared" si="74"/>
        <v>0</v>
      </c>
      <c r="W212" s="35"/>
      <c r="X212" s="247" t="e">
        <f t="shared" si="79"/>
        <v>#DIV/0!</v>
      </c>
    </row>
    <row r="213" spans="2:24" ht="12.75" hidden="1">
      <c r="B213" s="91"/>
      <c r="C213" s="92"/>
      <c r="D213" s="111"/>
      <c r="E213" s="110" t="s">
        <v>17</v>
      </c>
      <c r="F213" s="120" t="s">
        <v>57</v>
      </c>
      <c r="G213" s="121" t="s">
        <v>551</v>
      </c>
      <c r="H213" s="322">
        <v>6000000</v>
      </c>
      <c r="I213" s="322">
        <v>0</v>
      </c>
      <c r="J213" s="322">
        <v>870906</v>
      </c>
      <c r="K213" s="322">
        <v>121008</v>
      </c>
      <c r="L213" s="322">
        <v>0</v>
      </c>
      <c r="M213" s="322">
        <v>0</v>
      </c>
      <c r="N213" s="322">
        <v>0</v>
      </c>
      <c r="O213" s="322">
        <v>0</v>
      </c>
      <c r="P213" s="322">
        <v>0</v>
      </c>
      <c r="Q213" s="322">
        <v>0</v>
      </c>
      <c r="R213" s="322">
        <v>0</v>
      </c>
      <c r="S213" s="322">
        <v>0</v>
      </c>
      <c r="T213" s="322">
        <v>0</v>
      </c>
      <c r="U213" s="322">
        <f t="shared" si="77"/>
        <v>991914</v>
      </c>
      <c r="V213" s="248">
        <f t="shared" si="74"/>
        <v>5008086</v>
      </c>
      <c r="W213" s="35"/>
      <c r="X213" s="247">
        <f t="shared" si="79"/>
        <v>16.5319</v>
      </c>
    </row>
    <row r="214" spans="2:24" ht="12.75" hidden="1">
      <c r="B214" s="91"/>
      <c r="C214" s="92"/>
      <c r="D214" s="111"/>
      <c r="E214" s="110" t="s">
        <v>17</v>
      </c>
      <c r="F214" s="120" t="s">
        <v>65</v>
      </c>
      <c r="G214" s="121" t="s">
        <v>563</v>
      </c>
      <c r="H214" s="322">
        <v>6000000</v>
      </c>
      <c r="I214" s="322">
        <v>0</v>
      </c>
      <c r="J214" s="322">
        <v>0</v>
      </c>
      <c r="K214" s="322">
        <v>0</v>
      </c>
      <c r="L214" s="322">
        <v>0</v>
      </c>
      <c r="M214" s="322">
        <v>0</v>
      </c>
      <c r="N214" s="322">
        <v>0</v>
      </c>
      <c r="O214" s="322">
        <v>0</v>
      </c>
      <c r="P214" s="322">
        <v>0</v>
      </c>
      <c r="Q214" s="322">
        <v>0</v>
      </c>
      <c r="R214" s="322">
        <v>0</v>
      </c>
      <c r="S214" s="322">
        <v>0</v>
      </c>
      <c r="T214" s="322">
        <v>0</v>
      </c>
      <c r="U214" s="322">
        <f t="shared" si="77"/>
        <v>0</v>
      </c>
      <c r="V214" s="248">
        <f t="shared" si="74"/>
        <v>6000000</v>
      </c>
      <c r="W214" s="35"/>
      <c r="X214" s="247">
        <f t="shared" si="79"/>
        <v>0</v>
      </c>
    </row>
    <row r="215" spans="2:24" ht="12.75" hidden="1">
      <c r="B215" s="91"/>
      <c r="C215" s="92"/>
      <c r="D215" s="111"/>
      <c r="E215" s="110" t="s">
        <v>17</v>
      </c>
      <c r="F215" s="120" t="s">
        <v>182</v>
      </c>
      <c r="G215" s="121" t="s">
        <v>560</v>
      </c>
      <c r="H215" s="322">
        <v>6000000</v>
      </c>
      <c r="I215" s="322">
        <v>1175278</v>
      </c>
      <c r="J215" s="322">
        <v>0</v>
      </c>
      <c r="K215" s="322">
        <v>587498</v>
      </c>
      <c r="L215" s="322">
        <v>0</v>
      </c>
      <c r="M215" s="322">
        <v>0</v>
      </c>
      <c r="N215" s="322">
        <v>0</v>
      </c>
      <c r="O215" s="322">
        <v>0</v>
      </c>
      <c r="P215" s="322">
        <v>0</v>
      </c>
      <c r="Q215" s="322">
        <v>0</v>
      </c>
      <c r="R215" s="322">
        <v>0</v>
      </c>
      <c r="S215" s="322">
        <v>0</v>
      </c>
      <c r="T215" s="322">
        <v>0</v>
      </c>
      <c r="U215" s="322">
        <f>SUM(I215:T215)</f>
        <v>1762776</v>
      </c>
      <c r="V215" s="248">
        <f t="shared" si="74"/>
        <v>4237224</v>
      </c>
      <c r="W215" s="35"/>
      <c r="X215" s="247">
        <f t="shared" si="79"/>
        <v>29.3796</v>
      </c>
    </row>
    <row r="216" spans="2:24" ht="12.75" hidden="1">
      <c r="B216" s="91"/>
      <c r="C216" s="92"/>
      <c r="D216" s="111"/>
      <c r="E216" s="110" t="s">
        <v>17</v>
      </c>
      <c r="F216" s="120" t="s">
        <v>192</v>
      </c>
      <c r="G216" s="121" t="s">
        <v>561</v>
      </c>
      <c r="H216" s="322">
        <v>6000000</v>
      </c>
      <c r="I216" s="322">
        <v>870224</v>
      </c>
      <c r="J216" s="322">
        <v>-380000</v>
      </c>
      <c r="K216" s="322">
        <v>0</v>
      </c>
      <c r="L216" s="322">
        <v>0</v>
      </c>
      <c r="M216" s="322">
        <v>0</v>
      </c>
      <c r="N216" s="322">
        <v>0</v>
      </c>
      <c r="O216" s="322">
        <v>0</v>
      </c>
      <c r="P216" s="322">
        <v>0</v>
      </c>
      <c r="Q216" s="322">
        <v>0</v>
      </c>
      <c r="R216" s="322">
        <v>0</v>
      </c>
      <c r="S216" s="322">
        <v>0</v>
      </c>
      <c r="T216" s="322">
        <v>0</v>
      </c>
      <c r="U216" s="322">
        <f>SUM(I216:T216)</f>
        <v>490224</v>
      </c>
      <c r="V216" s="248">
        <f t="shared" si="74"/>
        <v>5509776</v>
      </c>
      <c r="W216" s="35"/>
      <c r="X216" s="247">
        <f t="shared" si="79"/>
        <v>8.1704</v>
      </c>
    </row>
    <row r="217" spans="2:24" ht="12.75" hidden="1">
      <c r="B217" s="91"/>
      <c r="C217" s="92"/>
      <c r="D217" s="111"/>
      <c r="E217" s="110" t="s">
        <v>17</v>
      </c>
      <c r="F217" s="120" t="s">
        <v>195</v>
      </c>
      <c r="G217" s="121" t="s">
        <v>564</v>
      </c>
      <c r="H217" s="322">
        <v>6000000</v>
      </c>
      <c r="I217" s="322">
        <v>0</v>
      </c>
      <c r="J217" s="322">
        <v>0</v>
      </c>
      <c r="K217" s="322">
        <v>0</v>
      </c>
      <c r="L217" s="322">
        <v>0</v>
      </c>
      <c r="M217" s="322">
        <v>0</v>
      </c>
      <c r="N217" s="322">
        <v>0</v>
      </c>
      <c r="O217" s="322">
        <v>0</v>
      </c>
      <c r="P217" s="322">
        <v>0</v>
      </c>
      <c r="Q217" s="322">
        <v>0</v>
      </c>
      <c r="R217" s="322">
        <v>0</v>
      </c>
      <c r="S217" s="322">
        <v>0</v>
      </c>
      <c r="T217" s="322">
        <v>0</v>
      </c>
      <c r="U217" s="322">
        <f>SUM(I217:T217)</f>
        <v>0</v>
      </c>
      <c r="V217" s="248">
        <f t="shared" si="74"/>
        <v>6000000</v>
      </c>
      <c r="W217" s="35"/>
      <c r="X217" s="247">
        <f t="shared" si="79"/>
        <v>0</v>
      </c>
    </row>
    <row r="218" spans="2:24" ht="12.75" hidden="1">
      <c r="B218" s="91"/>
      <c r="C218" s="92"/>
      <c r="D218" s="111"/>
      <c r="E218" s="110" t="s">
        <v>17</v>
      </c>
      <c r="F218" s="120" t="s">
        <v>334</v>
      </c>
      <c r="G218" s="121" t="s">
        <v>562</v>
      </c>
      <c r="H218" s="322">
        <v>6000000</v>
      </c>
      <c r="I218" s="322">
        <v>0</v>
      </c>
      <c r="J218" s="322">
        <v>0</v>
      </c>
      <c r="K218" s="322">
        <v>0</v>
      </c>
      <c r="L218" s="322">
        <v>0</v>
      </c>
      <c r="M218" s="322">
        <v>0</v>
      </c>
      <c r="N218" s="322">
        <v>0</v>
      </c>
      <c r="O218" s="322">
        <v>0</v>
      </c>
      <c r="P218" s="322">
        <v>0</v>
      </c>
      <c r="Q218" s="322">
        <v>0</v>
      </c>
      <c r="R218" s="322">
        <v>0</v>
      </c>
      <c r="S218" s="322">
        <v>0</v>
      </c>
      <c r="T218" s="322">
        <v>0</v>
      </c>
      <c r="U218" s="322">
        <f>SUM(I218:T218)</f>
        <v>0</v>
      </c>
      <c r="V218" s="248">
        <f t="shared" si="74"/>
        <v>6000000</v>
      </c>
      <c r="W218" s="35"/>
      <c r="X218" s="247">
        <f t="shared" si="79"/>
        <v>0</v>
      </c>
    </row>
    <row r="219" spans="2:24" ht="12.75">
      <c r="B219" s="91"/>
      <c r="C219" s="92"/>
      <c r="D219" s="111"/>
      <c r="E219" s="110" t="s">
        <v>22</v>
      </c>
      <c r="F219" s="120"/>
      <c r="G219" s="121" t="s">
        <v>469</v>
      </c>
      <c r="H219" s="322">
        <v>0</v>
      </c>
      <c r="I219" s="322">
        <v>0</v>
      </c>
      <c r="J219" s="322">
        <v>0</v>
      </c>
      <c r="K219" s="322">
        <v>0</v>
      </c>
      <c r="L219" s="322">
        <v>0</v>
      </c>
      <c r="M219" s="322">
        <v>0</v>
      </c>
      <c r="N219" s="322">
        <v>0</v>
      </c>
      <c r="O219" s="322">
        <v>0</v>
      </c>
      <c r="P219" s="322">
        <v>0</v>
      </c>
      <c r="Q219" s="322">
        <v>0</v>
      </c>
      <c r="R219" s="322">
        <v>0</v>
      </c>
      <c r="S219" s="322">
        <v>0</v>
      </c>
      <c r="T219" s="322">
        <v>0</v>
      </c>
      <c r="U219" s="322"/>
      <c r="V219" s="248"/>
      <c r="W219" s="35"/>
      <c r="X219" s="247">
        <v>0</v>
      </c>
    </row>
    <row r="220" spans="2:24" ht="12.75">
      <c r="B220" s="91" t="s">
        <v>159</v>
      </c>
      <c r="C220" s="92" t="s">
        <v>73</v>
      </c>
      <c r="D220" s="111" t="s">
        <v>28</v>
      </c>
      <c r="E220" s="110"/>
      <c r="F220" s="120"/>
      <c r="G220" s="121" t="s">
        <v>307</v>
      </c>
      <c r="H220" s="322">
        <v>1347242000</v>
      </c>
      <c r="I220" s="322">
        <f>557000+15206500+38875000+18657387+3710000+23828663</f>
        <v>100834550</v>
      </c>
      <c r="J220" s="322">
        <f>16050388+41078000+20237386+10134332+23927331</f>
        <v>111427437</v>
      </c>
      <c r="K220" s="322">
        <f>15073554+37204777+18587164+13908443+23805997</f>
        <v>108579935</v>
      </c>
      <c r="L220" s="322">
        <f>16643888+36254799+21792818+14079109+24008647</f>
        <v>112779261</v>
      </c>
      <c r="M220" s="322">
        <f>43941696+33504825+20008330+13882332+314142</f>
        <v>111651325</v>
      </c>
      <c r="N220" s="322">
        <f>47216245+33652906+30304002+17194221</f>
        <v>128367374</v>
      </c>
      <c r="O220" s="322">
        <f>46434216+37504313+5478959+15651552</f>
        <v>105069040</v>
      </c>
      <c r="P220" s="322">
        <f>48249382+40948333+555556+16672332</f>
        <v>106425603</v>
      </c>
      <c r="Q220" s="322">
        <f>53204418+36270400+16737666</f>
        <v>106212484</v>
      </c>
      <c r="R220" s="322">
        <v>0</v>
      </c>
      <c r="S220" s="322">
        <v>0</v>
      </c>
      <c r="T220" s="322">
        <v>0</v>
      </c>
      <c r="U220" s="322">
        <f>SUM(I220:T220)</f>
        <v>991347009</v>
      </c>
      <c r="V220" s="248">
        <f>H220-U220</f>
        <v>355894991</v>
      </c>
      <c r="W220" s="35"/>
      <c r="X220" s="247">
        <f>SUM(U220/H220)*100</f>
        <v>73.58344002042692</v>
      </c>
    </row>
    <row r="221" spans="2:24" ht="12.75">
      <c r="B221" s="91"/>
      <c r="C221" s="92"/>
      <c r="D221" s="93"/>
      <c r="E221" s="92"/>
      <c r="F221" s="94"/>
      <c r="G221" s="95"/>
      <c r="H221" s="225"/>
      <c r="I221" s="225"/>
      <c r="J221" s="225"/>
      <c r="K221" s="225"/>
      <c r="L221" s="225"/>
      <c r="M221" s="225"/>
      <c r="N221" s="225"/>
      <c r="O221" s="225"/>
      <c r="P221" s="225"/>
      <c r="Q221" s="225"/>
      <c r="R221" s="225"/>
      <c r="S221" s="225"/>
      <c r="T221" s="34"/>
      <c r="U221" s="322"/>
      <c r="V221" s="246"/>
      <c r="W221" s="37"/>
      <c r="X221" s="247"/>
    </row>
    <row r="222" spans="2:24" ht="12.75">
      <c r="B222" s="81" t="s">
        <v>308</v>
      </c>
      <c r="C222" s="82"/>
      <c r="D222" s="83"/>
      <c r="E222" s="82"/>
      <c r="F222" s="84"/>
      <c r="G222" s="85" t="s">
        <v>309</v>
      </c>
      <c r="H222" s="323">
        <f>SUM(H223+H226+H230+H235+H253+H263+H272+H277+H290+H298+H304+H309)</f>
        <v>14693382000</v>
      </c>
      <c r="I222" s="323">
        <f>SUM(I223+I226+I230+I235+I253+I263+I272+I277+I290+I298+I304+I309)</f>
        <v>992743160</v>
      </c>
      <c r="J222" s="323">
        <f aca="true" t="shared" si="80" ref="J222:S222">SUM(J223+J226+J230+J235+J253+J263+J272+J277+J290+J298+J304+J309)</f>
        <v>1009117224</v>
      </c>
      <c r="K222" s="323">
        <f t="shared" si="80"/>
        <v>1217052686</v>
      </c>
      <c r="L222" s="323">
        <f t="shared" si="80"/>
        <v>1161969172</v>
      </c>
      <c r="M222" s="323">
        <f t="shared" si="80"/>
        <v>1006377037</v>
      </c>
      <c r="N222" s="323">
        <f>SUM(N223+N226+N230+N235+N253+N263+N272+N277+N290+N298+N304+N309)</f>
        <v>1148930151</v>
      </c>
      <c r="O222" s="323">
        <f t="shared" si="80"/>
        <v>1227003868</v>
      </c>
      <c r="P222" s="323">
        <f t="shared" si="80"/>
        <v>982172664</v>
      </c>
      <c r="Q222" s="323">
        <f t="shared" si="80"/>
        <v>1360121781</v>
      </c>
      <c r="R222" s="323">
        <f t="shared" si="80"/>
        <v>0</v>
      </c>
      <c r="S222" s="323">
        <f t="shared" si="80"/>
        <v>0</v>
      </c>
      <c r="T222" s="329">
        <f>SUM(T223+T226+T230+T235+T253+T263+T272+T277+T290+T298+T304+T309)</f>
        <v>0</v>
      </c>
      <c r="U222" s="323">
        <f>SUM(U223+U226+U230+U235+U253+U263+U272+U277+U290+U298+U304+U309)</f>
        <v>10105487743</v>
      </c>
      <c r="V222" s="251">
        <f aca="true" t="shared" si="81" ref="V222:V234">H222-U222</f>
        <v>4587894257</v>
      </c>
      <c r="W222" s="237">
        <f>SUM(W223+W226+W230+W235+W253+W263+W272+W277+W290+W298+W304+W309)</f>
        <v>52254</v>
      </c>
      <c r="X222" s="252">
        <f aca="true" t="shared" si="82" ref="X222:X234">SUM(U222/H222)*100</f>
        <v>68.77577771407563</v>
      </c>
    </row>
    <row r="223" spans="2:24" ht="12.75">
      <c r="B223" s="86" t="s">
        <v>308</v>
      </c>
      <c r="C223" s="87" t="s">
        <v>12</v>
      </c>
      <c r="D223" s="88"/>
      <c r="E223" s="87"/>
      <c r="F223" s="89"/>
      <c r="G223" s="90" t="s">
        <v>310</v>
      </c>
      <c r="H223" s="226">
        <f>SUM(H224:H225)</f>
        <v>63130000</v>
      </c>
      <c r="I223" s="226">
        <f>SUM(I224:I225)</f>
        <v>199111</v>
      </c>
      <c r="J223" s="226">
        <f aca="true" t="shared" si="83" ref="J223:S223">SUM(J224:J225)</f>
        <v>3973621</v>
      </c>
      <c r="K223" s="226">
        <f t="shared" si="83"/>
        <v>573288</v>
      </c>
      <c r="L223" s="226">
        <f t="shared" si="83"/>
        <v>134661</v>
      </c>
      <c r="M223" s="226">
        <f t="shared" si="83"/>
        <v>2105825</v>
      </c>
      <c r="N223" s="226">
        <f>SUM(N224:N225)</f>
        <v>9647223</v>
      </c>
      <c r="O223" s="226">
        <f t="shared" si="83"/>
        <v>4812438</v>
      </c>
      <c r="P223" s="226">
        <f t="shared" si="83"/>
        <v>2529735</v>
      </c>
      <c r="Q223" s="226">
        <f t="shared" si="83"/>
        <v>3424331</v>
      </c>
      <c r="R223" s="226">
        <f t="shared" si="83"/>
        <v>0</v>
      </c>
      <c r="S223" s="226">
        <f t="shared" si="83"/>
        <v>0</v>
      </c>
      <c r="T223" s="226">
        <f>SUM(T224:T225)</f>
        <v>0</v>
      </c>
      <c r="U223" s="226">
        <f>SUM(U224:U225)</f>
        <v>27400233</v>
      </c>
      <c r="V223" s="243">
        <f t="shared" si="81"/>
        <v>35729767</v>
      </c>
      <c r="W223" s="241">
        <f>SUM(W224:W225)</f>
        <v>0</v>
      </c>
      <c r="X223" s="245">
        <f t="shared" si="82"/>
        <v>43.40287185173452</v>
      </c>
    </row>
    <row r="224" spans="2:24" ht="12.75">
      <c r="B224" s="91" t="s">
        <v>308</v>
      </c>
      <c r="C224" s="92" t="s">
        <v>12</v>
      </c>
      <c r="D224" s="93" t="s">
        <v>14</v>
      </c>
      <c r="E224" s="92"/>
      <c r="F224" s="94"/>
      <c r="G224" s="95" t="s">
        <v>311</v>
      </c>
      <c r="H224" s="322">
        <v>56130000</v>
      </c>
      <c r="I224" s="322">
        <v>199111</v>
      </c>
      <c r="J224" s="322">
        <f>3684669+288952</f>
        <v>3973621</v>
      </c>
      <c r="K224" s="322">
        <v>573288</v>
      </c>
      <c r="L224" s="322">
        <f>44661+90000</f>
        <v>134661</v>
      </c>
      <c r="M224" s="322">
        <f>1587163+518662</f>
        <v>2105825</v>
      </c>
      <c r="N224" s="322">
        <f>4514194+112000+569536+167493</f>
        <v>5363223</v>
      </c>
      <c r="O224" s="322">
        <f>659730+4152708</f>
        <v>4812438</v>
      </c>
      <c r="P224" s="322">
        <f>2105258+100000+324477</f>
        <v>2529735</v>
      </c>
      <c r="Q224" s="322">
        <f>1331069+1745401+347861</f>
        <v>3424331</v>
      </c>
      <c r="R224" s="322">
        <v>0</v>
      </c>
      <c r="S224" s="322">
        <v>0</v>
      </c>
      <c r="T224" s="322">
        <v>0</v>
      </c>
      <c r="U224" s="322">
        <f aca="true" t="shared" si="84" ref="U224:U287">SUM(I224:T224)</f>
        <v>23116233</v>
      </c>
      <c r="V224" s="248">
        <f t="shared" si="81"/>
        <v>33013767</v>
      </c>
      <c r="W224" s="43">
        <v>0</v>
      </c>
      <c r="X224" s="247">
        <f t="shared" si="82"/>
        <v>41.18338321753073</v>
      </c>
    </row>
    <row r="225" spans="2:24" ht="12.75">
      <c r="B225" s="91" t="s">
        <v>308</v>
      </c>
      <c r="C225" s="92" t="s">
        <v>12</v>
      </c>
      <c r="D225" s="93" t="s">
        <v>17</v>
      </c>
      <c r="E225" s="92"/>
      <c r="F225" s="94"/>
      <c r="G225" s="95" t="s">
        <v>312</v>
      </c>
      <c r="H225" s="322">
        <v>7000000</v>
      </c>
      <c r="I225" s="322">
        <v>0</v>
      </c>
      <c r="J225" s="322">
        <v>0</v>
      </c>
      <c r="K225" s="322">
        <v>0</v>
      </c>
      <c r="L225" s="322">
        <v>0</v>
      </c>
      <c r="M225" s="322">
        <v>0</v>
      </c>
      <c r="N225" s="322">
        <v>4284000</v>
      </c>
      <c r="O225" s="322">
        <v>0</v>
      </c>
      <c r="P225" s="322">
        <v>0</v>
      </c>
      <c r="Q225" s="322">
        <v>0</v>
      </c>
      <c r="R225" s="322">
        <v>0</v>
      </c>
      <c r="S225" s="322">
        <v>0</v>
      </c>
      <c r="T225" s="322">
        <v>0</v>
      </c>
      <c r="U225" s="322">
        <f t="shared" si="84"/>
        <v>4284000</v>
      </c>
      <c r="V225" s="248">
        <f t="shared" si="81"/>
        <v>2716000</v>
      </c>
      <c r="W225" s="43">
        <v>0</v>
      </c>
      <c r="X225" s="247">
        <f t="shared" si="82"/>
        <v>61.199999999999996</v>
      </c>
    </row>
    <row r="226" spans="2:24" ht="12.75">
      <c r="B226" s="86" t="s">
        <v>308</v>
      </c>
      <c r="C226" s="87" t="s">
        <v>35</v>
      </c>
      <c r="D226" s="88"/>
      <c r="E226" s="87"/>
      <c r="F226" s="89"/>
      <c r="G226" s="90" t="s">
        <v>313</v>
      </c>
      <c r="H226" s="226">
        <f>SUM(H227:H229)</f>
        <v>92967000</v>
      </c>
      <c r="I226" s="226">
        <f>SUM(I227:I229)</f>
        <v>0</v>
      </c>
      <c r="J226" s="226">
        <f aca="true" t="shared" si="85" ref="J226:S226">SUM(J227:J229)</f>
        <v>0</v>
      </c>
      <c r="K226" s="226">
        <f t="shared" si="85"/>
        <v>0</v>
      </c>
      <c r="L226" s="226">
        <f t="shared" si="85"/>
        <v>3880502</v>
      </c>
      <c r="M226" s="226">
        <f t="shared" si="85"/>
        <v>761708</v>
      </c>
      <c r="N226" s="226">
        <f>SUM(N227:N229)</f>
        <v>10963189</v>
      </c>
      <c r="O226" s="226">
        <f t="shared" si="85"/>
        <v>1909952</v>
      </c>
      <c r="P226" s="226">
        <f t="shared" si="85"/>
        <v>976531</v>
      </c>
      <c r="Q226" s="226">
        <f t="shared" si="85"/>
        <v>5236189</v>
      </c>
      <c r="R226" s="226">
        <f t="shared" si="85"/>
        <v>0</v>
      </c>
      <c r="S226" s="226">
        <f t="shared" si="85"/>
        <v>0</v>
      </c>
      <c r="T226" s="226">
        <f>SUM(T227:T229)</f>
        <v>0</v>
      </c>
      <c r="U226" s="226">
        <f>SUM(U227:U229)</f>
        <v>23728071</v>
      </c>
      <c r="V226" s="243">
        <f t="shared" si="81"/>
        <v>69238929</v>
      </c>
      <c r="W226" s="224">
        <f>SUM(W227:W229)</f>
        <v>0</v>
      </c>
      <c r="X226" s="245">
        <f t="shared" si="82"/>
        <v>25.52311142663526</v>
      </c>
    </row>
    <row r="227" spans="2:24" ht="12.75">
      <c r="B227" s="91" t="s">
        <v>308</v>
      </c>
      <c r="C227" s="92" t="s">
        <v>35</v>
      </c>
      <c r="D227" s="93" t="s">
        <v>14</v>
      </c>
      <c r="E227" s="92"/>
      <c r="F227" s="94"/>
      <c r="G227" s="95" t="s">
        <v>314</v>
      </c>
      <c r="H227" s="322">
        <v>400000</v>
      </c>
      <c r="I227" s="322">
        <v>0</v>
      </c>
      <c r="J227" s="322">
        <v>0</v>
      </c>
      <c r="K227" s="322">
        <v>0</v>
      </c>
      <c r="L227" s="322">
        <v>0</v>
      </c>
      <c r="M227" s="322">
        <v>0</v>
      </c>
      <c r="N227" s="322">
        <v>247520</v>
      </c>
      <c r="O227" s="322">
        <v>98772</v>
      </c>
      <c r="P227" s="322">
        <f>851906+124625</f>
        <v>976531</v>
      </c>
      <c r="Q227" s="322">
        <v>0</v>
      </c>
      <c r="R227" s="322">
        <v>0</v>
      </c>
      <c r="S227" s="322">
        <v>0</v>
      </c>
      <c r="T227" s="322">
        <v>0</v>
      </c>
      <c r="U227" s="322">
        <f t="shared" si="84"/>
        <v>1322823</v>
      </c>
      <c r="V227" s="248">
        <f t="shared" si="81"/>
        <v>-922823</v>
      </c>
      <c r="W227" s="43"/>
      <c r="X227" s="247">
        <f t="shared" si="82"/>
        <v>330.70575</v>
      </c>
    </row>
    <row r="228" spans="2:24" ht="12.75">
      <c r="B228" s="91" t="s">
        <v>308</v>
      </c>
      <c r="C228" s="92" t="s">
        <v>35</v>
      </c>
      <c r="D228" s="93" t="s">
        <v>17</v>
      </c>
      <c r="E228" s="92"/>
      <c r="F228" s="94"/>
      <c r="G228" s="95" t="s">
        <v>315</v>
      </c>
      <c r="H228" s="322">
        <v>84467000</v>
      </c>
      <c r="I228" s="322">
        <v>0</v>
      </c>
      <c r="J228" s="322">
        <v>0</v>
      </c>
      <c r="K228" s="322">
        <v>0</v>
      </c>
      <c r="L228" s="322">
        <f>609533+172645+397500</f>
        <v>1179678</v>
      </c>
      <c r="M228" s="322">
        <f>499458+262250</f>
        <v>761708</v>
      </c>
      <c r="N228" s="322">
        <f>2936175+3418139+250000</f>
        <v>6604314</v>
      </c>
      <c r="O228" s="322">
        <f>1332800+478380</f>
        <v>1811180</v>
      </c>
      <c r="P228" s="322">
        <v>0</v>
      </c>
      <c r="Q228" s="322">
        <f>3524155+250000+926772</f>
        <v>4700927</v>
      </c>
      <c r="R228" s="322">
        <v>0</v>
      </c>
      <c r="S228" s="322">
        <v>0</v>
      </c>
      <c r="T228" s="322">
        <v>0</v>
      </c>
      <c r="U228" s="322">
        <f t="shared" si="84"/>
        <v>15057807</v>
      </c>
      <c r="V228" s="248">
        <f t="shared" si="81"/>
        <v>69409193</v>
      </c>
      <c r="W228" s="43"/>
      <c r="X228" s="247">
        <f t="shared" si="82"/>
        <v>17.826851906661773</v>
      </c>
    </row>
    <row r="229" spans="2:24" ht="12.75">
      <c r="B229" s="91" t="s">
        <v>308</v>
      </c>
      <c r="C229" s="92" t="s">
        <v>35</v>
      </c>
      <c r="D229" s="93" t="s">
        <v>22</v>
      </c>
      <c r="E229" s="92"/>
      <c r="F229" s="94"/>
      <c r="G229" s="95" t="s">
        <v>316</v>
      </c>
      <c r="H229" s="322">
        <v>8100000</v>
      </c>
      <c r="I229" s="322">
        <v>0</v>
      </c>
      <c r="J229" s="322">
        <v>0</v>
      </c>
      <c r="K229" s="322">
        <v>0</v>
      </c>
      <c r="L229" s="322">
        <v>2700824</v>
      </c>
      <c r="M229" s="322">
        <v>0</v>
      </c>
      <c r="N229" s="322">
        <v>4111355</v>
      </c>
      <c r="O229" s="322">
        <v>0</v>
      </c>
      <c r="P229" s="322">
        <v>0</v>
      </c>
      <c r="Q229" s="322">
        <v>535262</v>
      </c>
      <c r="R229" s="322">
        <v>0</v>
      </c>
      <c r="S229" s="322">
        <v>0</v>
      </c>
      <c r="T229" s="322">
        <v>0</v>
      </c>
      <c r="U229" s="322">
        <f t="shared" si="84"/>
        <v>7347441</v>
      </c>
      <c r="V229" s="248">
        <f t="shared" si="81"/>
        <v>752559</v>
      </c>
      <c r="W229" s="43"/>
      <c r="X229" s="247">
        <f t="shared" si="82"/>
        <v>90.70914814814815</v>
      </c>
    </row>
    <row r="230" spans="2:24" ht="12.75">
      <c r="B230" s="86" t="s">
        <v>308</v>
      </c>
      <c r="C230" s="87" t="s">
        <v>10</v>
      </c>
      <c r="D230" s="88"/>
      <c r="E230" s="87"/>
      <c r="F230" s="89"/>
      <c r="G230" s="90" t="s">
        <v>317</v>
      </c>
      <c r="H230" s="226">
        <f>SUM(H231:H234)</f>
        <v>97960000</v>
      </c>
      <c r="I230" s="226">
        <f>SUM(I231:I234)</f>
        <v>2538632</v>
      </c>
      <c r="J230" s="226">
        <f aca="true" t="shared" si="86" ref="J230:S230">SUM(J231:J234)</f>
        <v>5083870</v>
      </c>
      <c r="K230" s="226">
        <f t="shared" si="86"/>
        <v>4291953</v>
      </c>
      <c r="L230" s="226">
        <f t="shared" si="86"/>
        <v>5703352</v>
      </c>
      <c r="M230" s="226">
        <f t="shared" si="86"/>
        <v>7137881</v>
      </c>
      <c r="N230" s="226">
        <f>SUM(N231:N234)</f>
        <v>5632914</v>
      </c>
      <c r="O230" s="226">
        <f t="shared" si="86"/>
        <v>9193928</v>
      </c>
      <c r="P230" s="226">
        <f t="shared" si="86"/>
        <v>3464130</v>
      </c>
      <c r="Q230" s="226">
        <f t="shared" si="86"/>
        <v>6608707</v>
      </c>
      <c r="R230" s="226">
        <f t="shared" si="86"/>
        <v>0</v>
      </c>
      <c r="S230" s="226">
        <f t="shared" si="86"/>
        <v>0</v>
      </c>
      <c r="T230" s="226">
        <f>SUM(T231:T234)</f>
        <v>0</v>
      </c>
      <c r="U230" s="226">
        <f>SUM(U231:U234)</f>
        <v>49655367</v>
      </c>
      <c r="V230" s="243">
        <f t="shared" si="81"/>
        <v>48304633</v>
      </c>
      <c r="W230" s="241">
        <f>SUM(W231:W234)</f>
        <v>0</v>
      </c>
      <c r="X230" s="245">
        <f t="shared" si="82"/>
        <v>50.689431400571664</v>
      </c>
    </row>
    <row r="231" spans="2:24" ht="12.75">
      <c r="B231" s="91" t="s">
        <v>308</v>
      </c>
      <c r="C231" s="92" t="s">
        <v>10</v>
      </c>
      <c r="D231" s="93" t="s">
        <v>14</v>
      </c>
      <c r="E231" s="92"/>
      <c r="F231" s="94"/>
      <c r="G231" s="95" t="s">
        <v>318</v>
      </c>
      <c r="H231" s="322">
        <v>88000000</v>
      </c>
      <c r="I231" s="322">
        <v>2125092</v>
      </c>
      <c r="J231" s="322">
        <v>4775649</v>
      </c>
      <c r="K231" s="322">
        <v>4035519</v>
      </c>
      <c r="L231" s="322">
        <v>5622352</v>
      </c>
      <c r="M231" s="433">
        <f>5133041+1389783</f>
        <v>6522824</v>
      </c>
      <c r="N231" s="322">
        <v>5601332</v>
      </c>
      <c r="O231" s="322">
        <v>8828006</v>
      </c>
      <c r="P231" s="322">
        <f>2713144+724621</f>
        <v>3437765</v>
      </c>
      <c r="Q231" s="322">
        <f>6408450+200257</f>
        <v>6608707</v>
      </c>
      <c r="R231" s="322">
        <v>0</v>
      </c>
      <c r="S231" s="322">
        <v>0</v>
      </c>
      <c r="T231" s="322">
        <v>0</v>
      </c>
      <c r="U231" s="322">
        <f t="shared" si="84"/>
        <v>47557246</v>
      </c>
      <c r="V231" s="248">
        <f t="shared" si="81"/>
        <v>40442754</v>
      </c>
      <c r="W231" s="35">
        <v>0</v>
      </c>
      <c r="X231" s="247">
        <f t="shared" si="82"/>
        <v>54.042325000000005</v>
      </c>
    </row>
    <row r="232" spans="2:24" ht="12.75">
      <c r="B232" s="91" t="s">
        <v>308</v>
      </c>
      <c r="C232" s="92" t="s">
        <v>10</v>
      </c>
      <c r="D232" s="93" t="s">
        <v>17</v>
      </c>
      <c r="E232" s="92"/>
      <c r="F232" s="94"/>
      <c r="G232" s="95" t="s">
        <v>319</v>
      </c>
      <c r="H232" s="322">
        <v>9160000</v>
      </c>
      <c r="I232" s="322">
        <v>413540</v>
      </c>
      <c r="J232" s="322">
        <v>308221</v>
      </c>
      <c r="K232" s="322">
        <v>256434</v>
      </c>
      <c r="L232" s="322">
        <v>81000</v>
      </c>
      <c r="M232" s="322">
        <v>615057</v>
      </c>
      <c r="N232" s="322">
        <v>31582</v>
      </c>
      <c r="O232" s="322">
        <v>365922</v>
      </c>
      <c r="P232" s="322">
        <v>26365</v>
      </c>
      <c r="Q232" s="322">
        <v>0</v>
      </c>
      <c r="R232" s="322">
        <v>0</v>
      </c>
      <c r="S232" s="322">
        <v>0</v>
      </c>
      <c r="T232" s="322">
        <v>0</v>
      </c>
      <c r="U232" s="322">
        <f t="shared" si="84"/>
        <v>2098121</v>
      </c>
      <c r="V232" s="248">
        <f t="shared" si="81"/>
        <v>7061879</v>
      </c>
      <c r="W232" s="35"/>
      <c r="X232" s="247">
        <f t="shared" si="82"/>
        <v>22.905251091703057</v>
      </c>
    </row>
    <row r="233" spans="2:24" ht="12.75">
      <c r="B233" s="91" t="s">
        <v>308</v>
      </c>
      <c r="C233" s="92" t="s">
        <v>10</v>
      </c>
      <c r="D233" s="93" t="s">
        <v>22</v>
      </c>
      <c r="E233" s="92"/>
      <c r="F233" s="94"/>
      <c r="G233" s="122" t="s">
        <v>320</v>
      </c>
      <c r="H233" s="322">
        <v>0</v>
      </c>
      <c r="I233" s="322">
        <v>0</v>
      </c>
      <c r="J233" s="322">
        <v>0</v>
      </c>
      <c r="K233" s="322">
        <v>0</v>
      </c>
      <c r="L233" s="322">
        <v>0</v>
      </c>
      <c r="M233" s="322">
        <v>0</v>
      </c>
      <c r="N233" s="322">
        <v>0</v>
      </c>
      <c r="O233" s="322">
        <v>0</v>
      </c>
      <c r="P233" s="322">
        <v>0</v>
      </c>
      <c r="Q233" s="322">
        <v>0</v>
      </c>
      <c r="R233" s="322">
        <v>0</v>
      </c>
      <c r="S233" s="322">
        <v>0</v>
      </c>
      <c r="T233" s="322">
        <v>0</v>
      </c>
      <c r="U233" s="322">
        <f t="shared" si="84"/>
        <v>0</v>
      </c>
      <c r="V233" s="248">
        <f t="shared" si="81"/>
        <v>0</v>
      </c>
      <c r="W233" s="35"/>
      <c r="X233" s="247">
        <v>0</v>
      </c>
    </row>
    <row r="234" spans="2:24" ht="12.75">
      <c r="B234" s="91" t="s">
        <v>308</v>
      </c>
      <c r="C234" s="92" t="s">
        <v>10</v>
      </c>
      <c r="D234" s="93" t="s">
        <v>30</v>
      </c>
      <c r="E234" s="92"/>
      <c r="F234" s="94"/>
      <c r="G234" s="95" t="s">
        <v>321</v>
      </c>
      <c r="H234" s="322">
        <v>800000</v>
      </c>
      <c r="I234" s="322">
        <v>0</v>
      </c>
      <c r="J234" s="322">
        <v>0</v>
      </c>
      <c r="K234" s="322">
        <v>0</v>
      </c>
      <c r="L234" s="322">
        <v>0</v>
      </c>
      <c r="M234" s="322">
        <v>0</v>
      </c>
      <c r="N234" s="322">
        <v>0</v>
      </c>
      <c r="O234" s="322">
        <v>0</v>
      </c>
      <c r="P234" s="322">
        <v>0</v>
      </c>
      <c r="Q234" s="322">
        <v>0</v>
      </c>
      <c r="R234" s="322">
        <v>0</v>
      </c>
      <c r="S234" s="322">
        <v>0</v>
      </c>
      <c r="T234" s="322">
        <v>0</v>
      </c>
      <c r="U234" s="322"/>
      <c r="V234" s="248">
        <f t="shared" si="81"/>
        <v>800000</v>
      </c>
      <c r="W234" s="35"/>
      <c r="X234" s="247">
        <f t="shared" si="82"/>
        <v>0</v>
      </c>
    </row>
    <row r="235" spans="2:24" ht="12.75">
      <c r="B235" s="86" t="s">
        <v>308</v>
      </c>
      <c r="C235" s="87" t="s">
        <v>73</v>
      </c>
      <c r="D235" s="88"/>
      <c r="E235" s="87"/>
      <c r="F235" s="89"/>
      <c r="G235" s="90" t="s">
        <v>322</v>
      </c>
      <c r="H235" s="226">
        <f>SUM(H236:H252)</f>
        <v>325775000</v>
      </c>
      <c r="I235" s="226">
        <f>SUM(I236:I252)</f>
        <v>13864413</v>
      </c>
      <c r="J235" s="226">
        <f aca="true" t="shared" si="87" ref="J235:S235">SUM(J236:J252)</f>
        <v>13518468</v>
      </c>
      <c r="K235" s="226">
        <f t="shared" si="87"/>
        <v>9257189</v>
      </c>
      <c r="L235" s="226">
        <f t="shared" si="87"/>
        <v>34817320</v>
      </c>
      <c r="M235" s="226">
        <f t="shared" si="87"/>
        <v>21762513</v>
      </c>
      <c r="N235" s="226">
        <f>SUM(N236:N252)</f>
        <v>33697948</v>
      </c>
      <c r="O235" s="226">
        <f t="shared" si="87"/>
        <v>18454023</v>
      </c>
      <c r="P235" s="226">
        <f t="shared" si="87"/>
        <v>28635224</v>
      </c>
      <c r="Q235" s="226">
        <f t="shared" si="87"/>
        <v>20241281</v>
      </c>
      <c r="R235" s="226">
        <f t="shared" si="87"/>
        <v>0</v>
      </c>
      <c r="S235" s="226">
        <f t="shared" si="87"/>
        <v>0</v>
      </c>
      <c r="T235" s="226">
        <f>SUM(T236:T252)</f>
        <v>0</v>
      </c>
      <c r="U235" s="226">
        <f>SUM(U236:U252)</f>
        <v>194248379</v>
      </c>
      <c r="V235" s="243">
        <f aca="true" t="shared" si="88" ref="V235:V266">H235-U235</f>
        <v>131526621</v>
      </c>
      <c r="W235" s="241">
        <f>SUM(W236:W252)</f>
        <v>0</v>
      </c>
      <c r="X235" s="245">
        <f aca="true" t="shared" si="89" ref="X235:X274">SUM(U235/H235)*100</f>
        <v>59.62654562197835</v>
      </c>
    </row>
    <row r="236" spans="2:24" ht="12.75">
      <c r="B236" s="91" t="s">
        <v>308</v>
      </c>
      <c r="C236" s="92" t="s">
        <v>73</v>
      </c>
      <c r="D236" s="93" t="s">
        <v>14</v>
      </c>
      <c r="E236" s="92"/>
      <c r="F236" s="94"/>
      <c r="G236" s="95" t="s">
        <v>323</v>
      </c>
      <c r="H236" s="322">
        <v>98775000</v>
      </c>
      <c r="I236" s="322">
        <f>266865+9639000</f>
        <v>9905865</v>
      </c>
      <c r="J236" s="322">
        <f>735233+10234595</f>
        <v>10969828</v>
      </c>
      <c r="K236" s="322">
        <f>477574+124237</f>
        <v>601811</v>
      </c>
      <c r="L236" s="322">
        <f>8500509+3435173</f>
        <v>11935682</v>
      </c>
      <c r="M236" s="322">
        <f>2060316+453084+9639000</f>
        <v>12152400</v>
      </c>
      <c r="N236" s="322">
        <f>4449190+120000+9858555</f>
        <v>14427745</v>
      </c>
      <c r="O236" s="322">
        <f>619814+939548+357833</f>
        <v>1917195</v>
      </c>
      <c r="P236" s="322">
        <f>689934+64800+12113010</f>
        <v>12867744</v>
      </c>
      <c r="Q236" s="322">
        <f>4913012+361760</f>
        <v>5274772</v>
      </c>
      <c r="R236" s="322">
        <v>0</v>
      </c>
      <c r="S236" s="322">
        <v>0</v>
      </c>
      <c r="T236" s="322">
        <v>0</v>
      </c>
      <c r="U236" s="322">
        <f t="shared" si="84"/>
        <v>80053042</v>
      </c>
      <c r="V236" s="248">
        <f t="shared" si="88"/>
        <v>18721958</v>
      </c>
      <c r="W236" s="35">
        <v>0</v>
      </c>
      <c r="X236" s="247">
        <f t="shared" si="89"/>
        <v>81.04585370792205</v>
      </c>
    </row>
    <row r="237" spans="2:24" ht="12.75">
      <c r="B237" s="91" t="s">
        <v>308</v>
      </c>
      <c r="C237" s="92" t="s">
        <v>73</v>
      </c>
      <c r="D237" s="93" t="s">
        <v>17</v>
      </c>
      <c r="E237" s="92"/>
      <c r="F237" s="94"/>
      <c r="G237" s="95" t="s">
        <v>324</v>
      </c>
      <c r="H237" s="322">
        <v>1462000</v>
      </c>
      <c r="I237" s="322">
        <v>0</v>
      </c>
      <c r="J237" s="322">
        <v>0</v>
      </c>
      <c r="K237" s="322">
        <v>0</v>
      </c>
      <c r="L237" s="322">
        <v>0</v>
      </c>
      <c r="M237" s="322">
        <v>0</v>
      </c>
      <c r="N237" s="322">
        <v>0</v>
      </c>
      <c r="O237" s="322">
        <v>71400</v>
      </c>
      <c r="P237" s="322">
        <v>0</v>
      </c>
      <c r="Q237" s="322">
        <v>114483</v>
      </c>
      <c r="R237" s="322">
        <v>0</v>
      </c>
      <c r="S237" s="322">
        <v>0</v>
      </c>
      <c r="T237" s="322">
        <v>0</v>
      </c>
      <c r="U237" s="322">
        <f t="shared" si="84"/>
        <v>185883</v>
      </c>
      <c r="V237" s="248">
        <f t="shared" si="88"/>
        <v>1276117</v>
      </c>
      <c r="W237" s="35">
        <v>0</v>
      </c>
      <c r="X237" s="247">
        <f t="shared" si="89"/>
        <v>12.714295485636114</v>
      </c>
    </row>
    <row r="238" spans="2:24" ht="12.75">
      <c r="B238" s="91" t="s">
        <v>308</v>
      </c>
      <c r="C238" s="92" t="s">
        <v>73</v>
      </c>
      <c r="D238" s="93" t="s">
        <v>22</v>
      </c>
      <c r="E238" s="92"/>
      <c r="F238" s="94"/>
      <c r="G238" s="95" t="s">
        <v>325</v>
      </c>
      <c r="H238" s="322">
        <v>7102000</v>
      </c>
      <c r="I238" s="322">
        <v>0</v>
      </c>
      <c r="J238" s="322">
        <v>0</v>
      </c>
      <c r="K238" s="322">
        <v>0</v>
      </c>
      <c r="L238" s="322">
        <v>0</v>
      </c>
      <c r="M238" s="322">
        <v>0</v>
      </c>
      <c r="N238" s="322">
        <v>0</v>
      </c>
      <c r="O238" s="322">
        <v>0</v>
      </c>
      <c r="P238" s="322">
        <v>0</v>
      </c>
      <c r="Q238" s="322">
        <v>0</v>
      </c>
      <c r="R238" s="322">
        <v>0</v>
      </c>
      <c r="S238" s="322">
        <v>0</v>
      </c>
      <c r="T238" s="322">
        <v>0</v>
      </c>
      <c r="U238" s="322">
        <f t="shared" si="84"/>
        <v>0</v>
      </c>
      <c r="V238" s="248">
        <f t="shared" si="88"/>
        <v>7102000</v>
      </c>
      <c r="W238" s="35">
        <v>0</v>
      </c>
      <c r="X238" s="247">
        <f t="shared" si="89"/>
        <v>0</v>
      </c>
    </row>
    <row r="239" spans="2:24" ht="12.75">
      <c r="B239" s="91" t="s">
        <v>308</v>
      </c>
      <c r="C239" s="92" t="s">
        <v>73</v>
      </c>
      <c r="D239" s="93" t="s">
        <v>28</v>
      </c>
      <c r="E239" s="92"/>
      <c r="F239" s="94"/>
      <c r="G239" s="95" t="s">
        <v>326</v>
      </c>
      <c r="H239" s="322">
        <v>9100000</v>
      </c>
      <c r="I239" s="322">
        <v>0</v>
      </c>
      <c r="J239" s="322">
        <v>0</v>
      </c>
      <c r="K239" s="322">
        <f>297220+172657</f>
        <v>469877</v>
      </c>
      <c r="L239" s="322">
        <v>0</v>
      </c>
      <c r="M239" s="322">
        <v>0</v>
      </c>
      <c r="N239" s="322">
        <v>0</v>
      </c>
      <c r="O239" s="322">
        <v>0</v>
      </c>
      <c r="P239" s="322">
        <v>170408</v>
      </c>
      <c r="Q239" s="322">
        <v>0</v>
      </c>
      <c r="R239" s="322">
        <v>0</v>
      </c>
      <c r="S239" s="322">
        <v>0</v>
      </c>
      <c r="T239" s="322">
        <v>0</v>
      </c>
      <c r="U239" s="322">
        <f t="shared" si="84"/>
        <v>640285</v>
      </c>
      <c r="V239" s="248">
        <f t="shared" si="88"/>
        <v>8459715</v>
      </c>
      <c r="W239" s="35">
        <v>0</v>
      </c>
      <c r="X239" s="247">
        <f t="shared" si="89"/>
        <v>7.036098901098901</v>
      </c>
    </row>
    <row r="240" spans="2:24" ht="12.75">
      <c r="B240" s="91" t="s">
        <v>308</v>
      </c>
      <c r="C240" s="92" t="s">
        <v>73</v>
      </c>
      <c r="D240" s="93" t="s">
        <v>54</v>
      </c>
      <c r="E240" s="92"/>
      <c r="F240" s="94"/>
      <c r="G240" s="95" t="s">
        <v>327</v>
      </c>
      <c r="H240" s="322">
        <v>500000</v>
      </c>
      <c r="I240" s="322">
        <v>0</v>
      </c>
      <c r="J240" s="322">
        <v>0</v>
      </c>
      <c r="K240" s="322">
        <v>0</v>
      </c>
      <c r="L240" s="322">
        <v>0</v>
      </c>
      <c r="M240" s="322">
        <v>0</v>
      </c>
      <c r="N240" s="322">
        <v>0</v>
      </c>
      <c r="O240" s="322">
        <v>0</v>
      </c>
      <c r="P240" s="322">
        <v>0</v>
      </c>
      <c r="Q240" s="322">
        <v>0</v>
      </c>
      <c r="R240" s="322">
        <v>0</v>
      </c>
      <c r="S240" s="322">
        <v>0</v>
      </c>
      <c r="T240" s="322">
        <v>0</v>
      </c>
      <c r="U240" s="322">
        <f t="shared" si="84"/>
        <v>0</v>
      </c>
      <c r="V240" s="248">
        <f t="shared" si="88"/>
        <v>500000</v>
      </c>
      <c r="W240" s="35"/>
      <c r="X240" s="247">
        <f t="shared" si="89"/>
        <v>0</v>
      </c>
    </row>
    <row r="241" spans="2:24" ht="12.75">
      <c r="B241" s="91" t="s">
        <v>308</v>
      </c>
      <c r="C241" s="92" t="s">
        <v>73</v>
      </c>
      <c r="D241" s="93" t="s">
        <v>57</v>
      </c>
      <c r="E241" s="92"/>
      <c r="F241" s="94"/>
      <c r="G241" s="95" t="s">
        <v>328</v>
      </c>
      <c r="H241" s="322">
        <v>17832000</v>
      </c>
      <c r="I241" s="322">
        <v>809200</v>
      </c>
      <c r="J241" s="322">
        <v>0</v>
      </c>
      <c r="K241" s="322">
        <v>2618000</v>
      </c>
      <c r="L241" s="322">
        <v>0</v>
      </c>
      <c r="M241" s="322">
        <v>0</v>
      </c>
      <c r="N241" s="322">
        <v>0</v>
      </c>
      <c r="O241" s="322">
        <v>0</v>
      </c>
      <c r="P241" s="322">
        <v>999957</v>
      </c>
      <c r="Q241" s="322">
        <v>5967993</v>
      </c>
      <c r="R241" s="322">
        <v>0</v>
      </c>
      <c r="S241" s="322">
        <v>0</v>
      </c>
      <c r="T241" s="322">
        <v>0</v>
      </c>
      <c r="U241" s="322">
        <f t="shared" si="84"/>
        <v>10395150</v>
      </c>
      <c r="V241" s="248">
        <f t="shared" si="88"/>
        <v>7436850</v>
      </c>
      <c r="W241" s="35"/>
      <c r="X241" s="247">
        <f t="shared" si="89"/>
        <v>58.29491924629879</v>
      </c>
    </row>
    <row r="242" spans="2:24" ht="12.75">
      <c r="B242" s="91" t="s">
        <v>308</v>
      </c>
      <c r="C242" s="92" t="s">
        <v>73</v>
      </c>
      <c r="D242" s="93" t="s">
        <v>61</v>
      </c>
      <c r="E242" s="92"/>
      <c r="F242" s="94"/>
      <c r="G242" s="95" t="s">
        <v>329</v>
      </c>
      <c r="H242" s="322">
        <v>10890000</v>
      </c>
      <c r="I242" s="322">
        <v>0</v>
      </c>
      <c r="J242" s="322">
        <v>0</v>
      </c>
      <c r="K242" s="322">
        <f>1515340+128687</f>
        <v>1644027</v>
      </c>
      <c r="L242" s="322">
        <v>0</v>
      </c>
      <c r="M242" s="322">
        <v>410550</v>
      </c>
      <c r="N242" s="322">
        <v>1318153</v>
      </c>
      <c r="O242" s="322">
        <v>485901</v>
      </c>
      <c r="P242" s="322">
        <v>0</v>
      </c>
      <c r="Q242" s="322">
        <v>1198187</v>
      </c>
      <c r="R242" s="322">
        <v>0</v>
      </c>
      <c r="S242" s="322">
        <v>0</v>
      </c>
      <c r="T242" s="322">
        <v>0</v>
      </c>
      <c r="U242" s="322">
        <f t="shared" si="84"/>
        <v>5056818</v>
      </c>
      <c r="V242" s="248">
        <f t="shared" si="88"/>
        <v>5833182</v>
      </c>
      <c r="W242" s="35"/>
      <c r="X242" s="247">
        <f t="shared" si="89"/>
        <v>46.43542699724518</v>
      </c>
    </row>
    <row r="243" spans="2:24" ht="12.75">
      <c r="B243" s="91" t="s">
        <v>308</v>
      </c>
      <c r="C243" s="92" t="s">
        <v>73</v>
      </c>
      <c r="D243" s="93" t="s">
        <v>65</v>
      </c>
      <c r="E243" s="92"/>
      <c r="F243" s="94"/>
      <c r="G243" s="95" t="s">
        <v>330</v>
      </c>
      <c r="H243" s="322">
        <v>272000</v>
      </c>
      <c r="I243" s="322">
        <v>0</v>
      </c>
      <c r="J243" s="322">
        <v>0</v>
      </c>
      <c r="K243" s="322">
        <v>0</v>
      </c>
      <c r="L243" s="322">
        <v>0</v>
      </c>
      <c r="M243" s="322">
        <v>0</v>
      </c>
      <c r="N243" s="322">
        <v>0</v>
      </c>
      <c r="O243" s="322">
        <v>0</v>
      </c>
      <c r="P243" s="322">
        <v>0</v>
      </c>
      <c r="Q243" s="322">
        <v>92939</v>
      </c>
      <c r="R243" s="322">
        <v>0</v>
      </c>
      <c r="S243" s="322">
        <v>0</v>
      </c>
      <c r="T243" s="322">
        <v>0</v>
      </c>
      <c r="U243" s="322">
        <f t="shared" si="84"/>
        <v>92939</v>
      </c>
      <c r="V243" s="248">
        <f t="shared" si="88"/>
        <v>179061</v>
      </c>
      <c r="W243" s="35"/>
      <c r="X243" s="247">
        <f t="shared" si="89"/>
        <v>34.168749999999996</v>
      </c>
    </row>
    <row r="244" spans="2:24" ht="12.75">
      <c r="B244" s="91" t="s">
        <v>308</v>
      </c>
      <c r="C244" s="92" t="s">
        <v>73</v>
      </c>
      <c r="D244" s="93" t="s">
        <v>182</v>
      </c>
      <c r="E244" s="92"/>
      <c r="F244" s="94"/>
      <c r="G244" s="95" t="s">
        <v>331</v>
      </c>
      <c r="H244" s="322">
        <v>59776000</v>
      </c>
      <c r="I244" s="322">
        <v>2349060</v>
      </c>
      <c r="J244" s="322">
        <v>1919351</v>
      </c>
      <c r="K244" s="322">
        <v>1273598</v>
      </c>
      <c r="L244" s="322">
        <v>13406241</v>
      </c>
      <c r="M244" s="322">
        <v>3966032</v>
      </c>
      <c r="N244" s="322">
        <v>3829087</v>
      </c>
      <c r="O244" s="322">
        <v>6293077</v>
      </c>
      <c r="P244" s="322">
        <f>6035716+276030</f>
        <v>6311746</v>
      </c>
      <c r="Q244" s="322">
        <v>98972</v>
      </c>
      <c r="R244" s="322">
        <v>0</v>
      </c>
      <c r="S244" s="322">
        <v>0</v>
      </c>
      <c r="T244" s="322">
        <v>0</v>
      </c>
      <c r="U244" s="322">
        <f t="shared" si="84"/>
        <v>39447164</v>
      </c>
      <c r="V244" s="248">
        <f t="shared" si="88"/>
        <v>20328836</v>
      </c>
      <c r="W244" s="35">
        <v>0</v>
      </c>
      <c r="X244" s="247">
        <f t="shared" si="89"/>
        <v>65.99164213062099</v>
      </c>
    </row>
    <row r="245" spans="2:24" ht="12.75">
      <c r="B245" s="91" t="s">
        <v>308</v>
      </c>
      <c r="C245" s="92" t="s">
        <v>73</v>
      </c>
      <c r="D245" s="93" t="s">
        <v>192</v>
      </c>
      <c r="E245" s="92"/>
      <c r="F245" s="94"/>
      <c r="G245" s="95" t="s">
        <v>332</v>
      </c>
      <c r="H245" s="322">
        <v>49337000</v>
      </c>
      <c r="I245" s="322">
        <f>215152+144117</f>
        <v>359269</v>
      </c>
      <c r="J245" s="322">
        <v>122890</v>
      </c>
      <c r="K245" s="322">
        <f>1181657+270405</f>
        <v>1452062</v>
      </c>
      <c r="L245" s="322">
        <f>900643+559750</f>
        <v>1460393</v>
      </c>
      <c r="M245" s="322">
        <f>2589627+179393</f>
        <v>2769020</v>
      </c>
      <c r="N245" s="322">
        <f>65410+123279+11344645</f>
        <v>11533334</v>
      </c>
      <c r="O245" s="322">
        <f>905542+1695031</f>
        <v>2600573</v>
      </c>
      <c r="P245" s="322">
        <f>646097+2372051</f>
        <v>3018148</v>
      </c>
      <c r="Q245" s="322">
        <f>1363569+675742+3554166</f>
        <v>5593477</v>
      </c>
      <c r="R245" s="322">
        <v>0</v>
      </c>
      <c r="S245" s="322">
        <v>0</v>
      </c>
      <c r="T245" s="322">
        <v>0</v>
      </c>
      <c r="U245" s="322">
        <f t="shared" si="84"/>
        <v>28909166</v>
      </c>
      <c r="V245" s="248">
        <f t="shared" si="88"/>
        <v>20427834</v>
      </c>
      <c r="W245" s="35"/>
      <c r="X245" s="247">
        <f t="shared" si="89"/>
        <v>58.59530575430204</v>
      </c>
    </row>
    <row r="246" spans="2:24" ht="12.75">
      <c r="B246" s="91" t="s">
        <v>308</v>
      </c>
      <c r="C246" s="92" t="s">
        <v>73</v>
      </c>
      <c r="D246" s="93" t="s">
        <v>195</v>
      </c>
      <c r="E246" s="92"/>
      <c r="F246" s="94"/>
      <c r="G246" s="95" t="s">
        <v>333</v>
      </c>
      <c r="H246" s="322">
        <v>31600000</v>
      </c>
      <c r="I246" s="322">
        <v>0</v>
      </c>
      <c r="J246" s="322">
        <v>313565</v>
      </c>
      <c r="K246" s="322">
        <v>823242</v>
      </c>
      <c r="L246" s="322">
        <v>3205919</v>
      </c>
      <c r="M246" s="322">
        <v>1259740</v>
      </c>
      <c r="N246" s="322">
        <v>539650</v>
      </c>
      <c r="O246" s="322">
        <v>3959073</v>
      </c>
      <c r="P246" s="322">
        <v>3272126</v>
      </c>
      <c r="Q246" s="322">
        <v>671900</v>
      </c>
      <c r="R246" s="322">
        <v>0</v>
      </c>
      <c r="S246" s="322">
        <v>0</v>
      </c>
      <c r="T246" s="322">
        <v>0</v>
      </c>
      <c r="U246" s="322">
        <f t="shared" si="84"/>
        <v>14045215</v>
      </c>
      <c r="V246" s="248">
        <f t="shared" si="88"/>
        <v>17554785</v>
      </c>
      <c r="W246" s="35"/>
      <c r="X246" s="247">
        <f t="shared" si="89"/>
        <v>44.44688291139241</v>
      </c>
    </row>
    <row r="247" spans="2:24" ht="12.75">
      <c r="B247" s="91" t="s">
        <v>308</v>
      </c>
      <c r="C247" s="92" t="s">
        <v>73</v>
      </c>
      <c r="D247" s="93" t="s">
        <v>334</v>
      </c>
      <c r="E247" s="123"/>
      <c r="F247" s="124"/>
      <c r="G247" s="95" t="s">
        <v>335</v>
      </c>
      <c r="H247" s="322">
        <v>11305000</v>
      </c>
      <c r="I247" s="322">
        <f>330989+110030</f>
        <v>441019</v>
      </c>
      <c r="J247" s="322">
        <v>164101</v>
      </c>
      <c r="K247" s="322">
        <v>190400</v>
      </c>
      <c r="L247" s="322">
        <v>2921983</v>
      </c>
      <c r="M247" s="322">
        <v>488920</v>
      </c>
      <c r="N247" s="322">
        <v>26324</v>
      </c>
      <c r="O247" s="322">
        <v>229194</v>
      </c>
      <c r="P247" s="322">
        <v>1523200</v>
      </c>
      <c r="Q247" s="322">
        <v>0</v>
      </c>
      <c r="R247" s="322">
        <v>0</v>
      </c>
      <c r="S247" s="322">
        <v>0</v>
      </c>
      <c r="T247" s="322">
        <v>0</v>
      </c>
      <c r="U247" s="322">
        <f t="shared" si="84"/>
        <v>5985141</v>
      </c>
      <c r="V247" s="248">
        <f t="shared" si="88"/>
        <v>5319859</v>
      </c>
      <c r="W247" s="35"/>
      <c r="X247" s="247">
        <f t="shared" si="89"/>
        <v>52.94242370632464</v>
      </c>
    </row>
    <row r="248" spans="2:24" ht="12.75">
      <c r="B248" s="91" t="s">
        <v>308</v>
      </c>
      <c r="C248" s="92" t="s">
        <v>73</v>
      </c>
      <c r="D248" s="93" t="s">
        <v>282</v>
      </c>
      <c r="E248" s="123"/>
      <c r="F248" s="124"/>
      <c r="G248" s="95" t="s">
        <v>336</v>
      </c>
      <c r="H248" s="322">
        <v>6969000</v>
      </c>
      <c r="I248" s="322">
        <v>0</v>
      </c>
      <c r="J248" s="322">
        <v>0</v>
      </c>
      <c r="K248" s="322">
        <v>113050</v>
      </c>
      <c r="L248" s="322">
        <v>0</v>
      </c>
      <c r="M248" s="322">
        <v>209345</v>
      </c>
      <c r="N248" s="322">
        <v>0</v>
      </c>
      <c r="O248" s="322">
        <v>1006456</v>
      </c>
      <c r="P248" s="322">
        <v>314065</v>
      </c>
      <c r="Q248" s="322">
        <v>414120</v>
      </c>
      <c r="R248" s="322">
        <v>0</v>
      </c>
      <c r="S248" s="322">
        <v>0</v>
      </c>
      <c r="T248" s="322">
        <v>0</v>
      </c>
      <c r="U248" s="322">
        <f t="shared" si="84"/>
        <v>2057036</v>
      </c>
      <c r="V248" s="248">
        <f t="shared" si="88"/>
        <v>4911964</v>
      </c>
      <c r="W248" s="35"/>
      <c r="X248" s="247">
        <f t="shared" si="89"/>
        <v>29.516946477256422</v>
      </c>
    </row>
    <row r="249" spans="2:24" ht="12.75">
      <c r="B249" s="91" t="s">
        <v>308</v>
      </c>
      <c r="C249" s="92" t="s">
        <v>73</v>
      </c>
      <c r="D249" s="93" t="s">
        <v>198</v>
      </c>
      <c r="E249" s="123"/>
      <c r="F249" s="124"/>
      <c r="G249" s="95" t="s">
        <v>337</v>
      </c>
      <c r="H249" s="322">
        <v>9385000</v>
      </c>
      <c r="I249" s="322">
        <v>0</v>
      </c>
      <c r="J249" s="322">
        <v>28733</v>
      </c>
      <c r="K249" s="322">
        <v>71122</v>
      </c>
      <c r="L249" s="322">
        <v>1797852</v>
      </c>
      <c r="M249" s="322">
        <v>343709</v>
      </c>
      <c r="N249" s="322">
        <f>428400+299345+148274+1147636</f>
        <v>2023655</v>
      </c>
      <c r="O249" s="322">
        <v>1844340</v>
      </c>
      <c r="P249" s="322">
        <v>0</v>
      </c>
      <c r="Q249" s="322">
        <v>0</v>
      </c>
      <c r="R249" s="322">
        <v>0</v>
      </c>
      <c r="S249" s="322">
        <v>0</v>
      </c>
      <c r="T249" s="322">
        <v>0</v>
      </c>
      <c r="U249" s="322">
        <f t="shared" si="84"/>
        <v>6109411</v>
      </c>
      <c r="V249" s="248">
        <f t="shared" si="88"/>
        <v>3275589</v>
      </c>
      <c r="W249" s="35"/>
      <c r="X249" s="247">
        <f t="shared" si="89"/>
        <v>65.09761321257326</v>
      </c>
    </row>
    <row r="250" spans="2:24" ht="12.75">
      <c r="B250" s="91" t="s">
        <v>308</v>
      </c>
      <c r="C250" s="92" t="s">
        <v>73</v>
      </c>
      <c r="D250" s="93" t="s">
        <v>208</v>
      </c>
      <c r="E250" s="123"/>
      <c r="F250" s="124"/>
      <c r="G250" s="95" t="s">
        <v>338</v>
      </c>
      <c r="H250" s="322">
        <v>500000</v>
      </c>
      <c r="I250" s="322">
        <v>0</v>
      </c>
      <c r="J250" s="322">
        <v>0</v>
      </c>
      <c r="K250" s="322">
        <v>0</v>
      </c>
      <c r="L250" s="322">
        <v>0</v>
      </c>
      <c r="M250" s="322">
        <v>0</v>
      </c>
      <c r="N250" s="322">
        <v>0</v>
      </c>
      <c r="O250" s="322">
        <v>0</v>
      </c>
      <c r="P250" s="322">
        <v>0</v>
      </c>
      <c r="Q250" s="322">
        <v>0</v>
      </c>
      <c r="R250" s="322">
        <v>0</v>
      </c>
      <c r="S250" s="322">
        <v>0</v>
      </c>
      <c r="T250" s="322">
        <v>0</v>
      </c>
      <c r="U250" s="322">
        <f t="shared" si="84"/>
        <v>0</v>
      </c>
      <c r="V250" s="248">
        <f t="shared" si="88"/>
        <v>500000</v>
      </c>
      <c r="W250" s="35"/>
      <c r="X250" s="247">
        <f t="shared" si="89"/>
        <v>0</v>
      </c>
    </row>
    <row r="251" spans="2:24" ht="12.75">
      <c r="B251" s="91" t="s">
        <v>308</v>
      </c>
      <c r="C251" s="92" t="s">
        <v>73</v>
      </c>
      <c r="D251" s="93" t="s">
        <v>339</v>
      </c>
      <c r="E251" s="123"/>
      <c r="F251" s="124"/>
      <c r="G251" s="95" t="s">
        <v>340</v>
      </c>
      <c r="H251" s="322">
        <v>0</v>
      </c>
      <c r="I251" s="322">
        <v>0</v>
      </c>
      <c r="J251" s="322">
        <v>0</v>
      </c>
      <c r="K251" s="322">
        <v>0</v>
      </c>
      <c r="L251" s="322">
        <v>0</v>
      </c>
      <c r="M251" s="322">
        <v>0</v>
      </c>
      <c r="N251" s="322">
        <v>0</v>
      </c>
      <c r="O251" s="322">
        <v>0</v>
      </c>
      <c r="P251" s="322">
        <v>0</v>
      </c>
      <c r="Q251" s="322">
        <v>0</v>
      </c>
      <c r="R251" s="322">
        <v>0</v>
      </c>
      <c r="S251" s="322">
        <v>0</v>
      </c>
      <c r="T251" s="322">
        <v>0</v>
      </c>
      <c r="U251" s="322">
        <f t="shared" si="84"/>
        <v>0</v>
      </c>
      <c r="V251" s="248">
        <f t="shared" si="88"/>
        <v>0</v>
      </c>
      <c r="W251" s="35"/>
      <c r="X251" s="247" t="e">
        <f t="shared" si="89"/>
        <v>#DIV/0!</v>
      </c>
    </row>
    <row r="252" spans="2:24" ht="12.75">
      <c r="B252" s="91" t="s">
        <v>308</v>
      </c>
      <c r="C252" s="92" t="s">
        <v>73</v>
      </c>
      <c r="D252" s="93" t="s">
        <v>30</v>
      </c>
      <c r="E252" s="123"/>
      <c r="F252" s="124"/>
      <c r="G252" s="95" t="s">
        <v>31</v>
      </c>
      <c r="H252" s="322">
        <v>10970000</v>
      </c>
      <c r="I252" s="322">
        <v>0</v>
      </c>
      <c r="J252" s="322">
        <v>0</v>
      </c>
      <c r="K252" s="322">
        <v>0</v>
      </c>
      <c r="L252" s="322">
        <v>89250</v>
      </c>
      <c r="M252" s="322">
        <f>20824+67473+74500</f>
        <v>162797</v>
      </c>
      <c r="N252" s="322">
        <v>0</v>
      </c>
      <c r="O252" s="322">
        <v>46814</v>
      </c>
      <c r="P252" s="322">
        <v>157830</v>
      </c>
      <c r="Q252" s="322">
        <f>45490+768948</f>
        <v>814438</v>
      </c>
      <c r="R252" s="322">
        <v>0</v>
      </c>
      <c r="S252" s="322">
        <v>0</v>
      </c>
      <c r="T252" s="322">
        <v>0</v>
      </c>
      <c r="U252" s="322">
        <f t="shared" si="84"/>
        <v>1271129</v>
      </c>
      <c r="V252" s="248">
        <f t="shared" si="88"/>
        <v>9698871</v>
      </c>
      <c r="W252" s="35"/>
      <c r="X252" s="247">
        <f t="shared" si="89"/>
        <v>11.587319963536919</v>
      </c>
    </row>
    <row r="253" spans="2:24" ht="12.75">
      <c r="B253" s="86" t="s">
        <v>308</v>
      </c>
      <c r="C253" s="87" t="s">
        <v>42</v>
      </c>
      <c r="D253" s="88"/>
      <c r="E253" s="87"/>
      <c r="F253" s="89"/>
      <c r="G253" s="125" t="s">
        <v>341</v>
      </c>
      <c r="H253" s="226">
        <f>SUM(H254:H262)</f>
        <v>3294208000</v>
      </c>
      <c r="I253" s="226">
        <f>SUM(I254:I262)</f>
        <v>218090327</v>
      </c>
      <c r="J253" s="226">
        <f aca="true" t="shared" si="90" ref="J253:S253">SUM(J254:J262)</f>
        <v>273594838</v>
      </c>
      <c r="K253" s="226">
        <f t="shared" si="90"/>
        <v>319913267</v>
      </c>
      <c r="L253" s="226">
        <f t="shared" si="90"/>
        <v>266442638</v>
      </c>
      <c r="M253" s="226">
        <f t="shared" si="90"/>
        <v>276828718</v>
      </c>
      <c r="N253" s="226">
        <f>SUM(N254:N262)</f>
        <v>294175661</v>
      </c>
      <c r="O253" s="226">
        <f t="shared" si="90"/>
        <v>271409722</v>
      </c>
      <c r="P253" s="226">
        <f t="shared" si="90"/>
        <v>286589069</v>
      </c>
      <c r="Q253" s="226">
        <f t="shared" si="90"/>
        <v>270612249</v>
      </c>
      <c r="R253" s="226">
        <f t="shared" si="90"/>
        <v>0</v>
      </c>
      <c r="S253" s="226">
        <f t="shared" si="90"/>
        <v>0</v>
      </c>
      <c r="T253" s="226">
        <f>SUM(T254:T262)</f>
        <v>0</v>
      </c>
      <c r="U253" s="226">
        <f>SUM(U254:U262)</f>
        <v>2477656489</v>
      </c>
      <c r="V253" s="243">
        <f t="shared" si="88"/>
        <v>816551511</v>
      </c>
      <c r="W253" s="241">
        <f>SUM(W254:W262)</f>
        <v>0</v>
      </c>
      <c r="X253" s="245">
        <f t="shared" si="89"/>
        <v>75.21250901582414</v>
      </c>
    </row>
    <row r="254" spans="2:24" ht="12.75">
      <c r="B254" s="91" t="s">
        <v>308</v>
      </c>
      <c r="C254" s="92" t="s">
        <v>42</v>
      </c>
      <c r="D254" s="93" t="s">
        <v>14</v>
      </c>
      <c r="E254" s="92"/>
      <c r="F254" s="94"/>
      <c r="G254" s="126" t="s">
        <v>342</v>
      </c>
      <c r="H254" s="322">
        <v>2469520000</v>
      </c>
      <c r="I254" s="322">
        <f>8641243+129588318</f>
        <v>138229561</v>
      </c>
      <c r="J254" s="322">
        <f>10416050+152360210</f>
        <v>162776260</v>
      </c>
      <c r="K254" s="322">
        <f>7249200+174803525</f>
        <v>182052725</v>
      </c>
      <c r="L254" s="322">
        <f>9260889+46100+178314500</f>
        <v>187621489</v>
      </c>
      <c r="M254" s="322">
        <f>11750934+51700+212404309</f>
        <v>224206943</v>
      </c>
      <c r="N254" s="322">
        <f>10406562+76800+215216200</f>
        <v>225699562</v>
      </c>
      <c r="O254" s="322">
        <f>11044154+90900+217021700</f>
        <v>228156754</v>
      </c>
      <c r="P254" s="322">
        <f>11656274+91700+243283460</f>
        <v>255031434</v>
      </c>
      <c r="Q254" s="322">
        <f>11808378+72200+233856700</f>
        <v>245737278</v>
      </c>
      <c r="R254" s="322">
        <v>0</v>
      </c>
      <c r="S254" s="322">
        <v>0</v>
      </c>
      <c r="T254" s="322">
        <v>0</v>
      </c>
      <c r="U254" s="322">
        <f t="shared" si="84"/>
        <v>1849512006</v>
      </c>
      <c r="V254" s="248">
        <f t="shared" si="88"/>
        <v>620007994</v>
      </c>
      <c r="W254" s="35">
        <v>0</v>
      </c>
      <c r="X254" s="247">
        <f t="shared" si="89"/>
        <v>74.89358280151608</v>
      </c>
    </row>
    <row r="255" spans="2:24" ht="12.75">
      <c r="B255" s="91" t="s">
        <v>308</v>
      </c>
      <c r="C255" s="92" t="s">
        <v>42</v>
      </c>
      <c r="D255" s="93" t="s">
        <v>17</v>
      </c>
      <c r="E255" s="96"/>
      <c r="F255" s="97"/>
      <c r="G255" s="126" t="s">
        <v>343</v>
      </c>
      <c r="H255" s="322">
        <v>599990000</v>
      </c>
      <c r="I255" s="322">
        <f>6983770+57700935</f>
        <v>64684705</v>
      </c>
      <c r="J255" s="322">
        <f>12041550+89373840</f>
        <v>101415390</v>
      </c>
      <c r="K255" s="322">
        <f>14797117+101524372</f>
        <v>116321489</v>
      </c>
      <c r="L255" s="322">
        <f>3455855+64335133</f>
        <v>67790988</v>
      </c>
      <c r="M255" s="322">
        <f>8339300+38887320</f>
        <v>47226620</v>
      </c>
      <c r="N255" s="322">
        <f>4240858+31985880</f>
        <v>36226738</v>
      </c>
      <c r="O255" s="322">
        <f>242565+25200+24960100</f>
        <v>25227865</v>
      </c>
      <c r="P255" s="322">
        <f>3765060+10610+16724750</f>
        <v>20500420</v>
      </c>
      <c r="Q255" s="322">
        <f>3895450+13600+12260110</f>
        <v>16169160</v>
      </c>
      <c r="R255" s="322">
        <v>0</v>
      </c>
      <c r="S255" s="322">
        <v>0</v>
      </c>
      <c r="T255" s="322">
        <v>0</v>
      </c>
      <c r="U255" s="322">
        <f t="shared" si="84"/>
        <v>495563375</v>
      </c>
      <c r="V255" s="248">
        <f t="shared" si="88"/>
        <v>104426625</v>
      </c>
      <c r="W255" s="35"/>
      <c r="X255" s="247">
        <f t="shared" si="89"/>
        <v>82.59527242120703</v>
      </c>
    </row>
    <row r="256" spans="2:24" ht="12.75">
      <c r="B256" s="91" t="s">
        <v>308</v>
      </c>
      <c r="C256" s="92" t="s">
        <v>42</v>
      </c>
      <c r="D256" s="93" t="s">
        <v>22</v>
      </c>
      <c r="E256" s="96"/>
      <c r="F256" s="97"/>
      <c r="G256" s="126" t="s">
        <v>344</v>
      </c>
      <c r="H256" s="322">
        <v>16463000</v>
      </c>
      <c r="I256" s="322">
        <v>0</v>
      </c>
      <c r="J256" s="322">
        <v>250864</v>
      </c>
      <c r="K256" s="322">
        <v>0</v>
      </c>
      <c r="L256" s="322">
        <v>0</v>
      </c>
      <c r="M256" s="322">
        <v>232746</v>
      </c>
      <c r="N256" s="322">
        <v>5236951</v>
      </c>
      <c r="O256" s="322">
        <v>2760214</v>
      </c>
      <c r="P256" s="322">
        <v>3367505</v>
      </c>
      <c r="Q256" s="322">
        <v>216676</v>
      </c>
      <c r="R256" s="322">
        <v>0</v>
      </c>
      <c r="S256" s="322">
        <v>0</v>
      </c>
      <c r="T256" s="322">
        <v>0</v>
      </c>
      <c r="U256" s="322">
        <f t="shared" si="84"/>
        <v>12064956</v>
      </c>
      <c r="V256" s="248">
        <f t="shared" si="88"/>
        <v>4398044</v>
      </c>
      <c r="W256" s="35"/>
      <c r="X256" s="247">
        <f t="shared" si="89"/>
        <v>73.28528214784669</v>
      </c>
    </row>
    <row r="257" spans="2:24" ht="12.75">
      <c r="B257" s="91" t="s">
        <v>308</v>
      </c>
      <c r="C257" s="92" t="s">
        <v>42</v>
      </c>
      <c r="D257" s="93" t="s">
        <v>28</v>
      </c>
      <c r="E257" s="96"/>
      <c r="F257" s="97"/>
      <c r="G257" s="126" t="s">
        <v>345</v>
      </c>
      <c r="H257" s="322">
        <v>48147000</v>
      </c>
      <c r="I257" s="322">
        <v>3036717</v>
      </c>
      <c r="J257" s="322">
        <v>4013191</v>
      </c>
      <c r="K257" s="322">
        <v>15368129</v>
      </c>
      <c r="L257" s="322">
        <v>3190772</v>
      </c>
      <c r="M257" s="322">
        <v>2376380</v>
      </c>
      <c r="N257" s="322">
        <v>2873325</v>
      </c>
      <c r="O257" s="322">
        <v>2837785</v>
      </c>
      <c r="P257" s="322">
        <v>2335750</v>
      </c>
      <c r="Q257" s="322">
        <v>2682257</v>
      </c>
      <c r="R257" s="322">
        <v>0</v>
      </c>
      <c r="S257" s="322">
        <v>0</v>
      </c>
      <c r="T257" s="322">
        <v>0</v>
      </c>
      <c r="U257" s="322">
        <f t="shared" si="84"/>
        <v>38714306</v>
      </c>
      <c r="V257" s="248">
        <f t="shared" si="88"/>
        <v>9432694</v>
      </c>
      <c r="W257" s="35"/>
      <c r="X257" s="247">
        <f t="shared" si="89"/>
        <v>80.40855297318629</v>
      </c>
    </row>
    <row r="258" spans="2:24" ht="12.75">
      <c r="B258" s="91" t="s">
        <v>308</v>
      </c>
      <c r="C258" s="92" t="s">
        <v>42</v>
      </c>
      <c r="D258" s="93" t="s">
        <v>54</v>
      </c>
      <c r="E258" s="96"/>
      <c r="F258" s="97"/>
      <c r="G258" s="126" t="s">
        <v>346</v>
      </c>
      <c r="H258" s="322">
        <v>67224000</v>
      </c>
      <c r="I258" s="322">
        <v>5575913</v>
      </c>
      <c r="J258" s="322">
        <v>0</v>
      </c>
      <c r="K258" s="322">
        <v>41432</v>
      </c>
      <c r="L258" s="322">
        <v>19679</v>
      </c>
      <c r="M258" s="322">
        <v>2786029</v>
      </c>
      <c r="N258" s="322">
        <v>15702281</v>
      </c>
      <c r="O258" s="322">
        <v>7634868</v>
      </c>
      <c r="P258" s="322">
        <v>-2067763</v>
      </c>
      <c r="Q258" s="322">
        <v>205039</v>
      </c>
      <c r="R258" s="322">
        <v>0</v>
      </c>
      <c r="S258" s="322">
        <v>0</v>
      </c>
      <c r="T258" s="322">
        <v>0</v>
      </c>
      <c r="U258" s="322">
        <f t="shared" si="84"/>
        <v>29897478</v>
      </c>
      <c r="V258" s="248">
        <f t="shared" si="88"/>
        <v>37326522</v>
      </c>
      <c r="W258" s="35">
        <v>0</v>
      </c>
      <c r="X258" s="247">
        <f t="shared" si="89"/>
        <v>44.47441092466976</v>
      </c>
    </row>
    <row r="259" spans="2:24" ht="12.75">
      <c r="B259" s="91" t="s">
        <v>308</v>
      </c>
      <c r="C259" s="92" t="s">
        <v>42</v>
      </c>
      <c r="D259" s="93" t="s">
        <v>57</v>
      </c>
      <c r="E259" s="127"/>
      <c r="F259" s="128"/>
      <c r="G259" s="126" t="s">
        <v>347</v>
      </c>
      <c r="H259" s="322">
        <v>37100000</v>
      </c>
      <c r="I259" s="322">
        <v>2512278</v>
      </c>
      <c r="J259" s="322">
        <v>2581694</v>
      </c>
      <c r="K259" s="322">
        <v>2490334</v>
      </c>
      <c r="L259" s="322">
        <v>2610509</v>
      </c>
      <c r="M259" s="322">
        <v>0</v>
      </c>
      <c r="N259" s="322">
        <v>3171362</v>
      </c>
      <c r="O259" s="322">
        <v>0</v>
      </c>
      <c r="P259" s="322">
        <v>5858101</v>
      </c>
      <c r="Q259" s="322">
        <v>3016054</v>
      </c>
      <c r="R259" s="322">
        <v>0</v>
      </c>
      <c r="S259" s="322">
        <v>0</v>
      </c>
      <c r="T259" s="322">
        <v>0</v>
      </c>
      <c r="U259" s="322">
        <f t="shared" si="84"/>
        <v>22240332</v>
      </c>
      <c r="V259" s="248">
        <f t="shared" si="88"/>
        <v>14859668</v>
      </c>
      <c r="W259" s="35"/>
      <c r="X259" s="247">
        <f t="shared" si="89"/>
        <v>59.94698652291105</v>
      </c>
    </row>
    <row r="260" spans="2:24" ht="12.75">
      <c r="B260" s="91" t="s">
        <v>308</v>
      </c>
      <c r="C260" s="92" t="s">
        <v>42</v>
      </c>
      <c r="D260" s="93" t="s">
        <v>61</v>
      </c>
      <c r="E260" s="92"/>
      <c r="F260" s="94"/>
      <c r="G260" s="126" t="s">
        <v>348</v>
      </c>
      <c r="H260" s="322">
        <v>24975000</v>
      </c>
      <c r="I260" s="322">
        <v>1644269</v>
      </c>
      <c r="J260" s="322">
        <v>1025027</v>
      </c>
      <c r="K260" s="322">
        <v>2106746</v>
      </c>
      <c r="L260" s="322">
        <v>1053373</v>
      </c>
      <c r="M260" s="322">
        <v>0</v>
      </c>
      <c r="N260" s="322">
        <v>2907824</v>
      </c>
      <c r="O260" s="322">
        <v>2434618</v>
      </c>
      <c r="P260" s="322">
        <v>31210</v>
      </c>
      <c r="Q260" s="322">
        <v>1053373</v>
      </c>
      <c r="R260" s="322">
        <v>0</v>
      </c>
      <c r="S260" s="322">
        <v>0</v>
      </c>
      <c r="T260" s="322">
        <v>0</v>
      </c>
      <c r="U260" s="322">
        <f t="shared" si="84"/>
        <v>12256440</v>
      </c>
      <c r="V260" s="248">
        <f t="shared" si="88"/>
        <v>12718560</v>
      </c>
      <c r="W260" s="35">
        <v>0</v>
      </c>
      <c r="X260" s="247">
        <f t="shared" si="89"/>
        <v>49.07483483483483</v>
      </c>
    </row>
    <row r="261" spans="2:24" ht="12.75">
      <c r="B261" s="91" t="s">
        <v>308</v>
      </c>
      <c r="C261" s="92" t="s">
        <v>42</v>
      </c>
      <c r="D261" s="93" t="s">
        <v>65</v>
      </c>
      <c r="E261" s="92"/>
      <c r="F261" s="94"/>
      <c r="G261" s="126" t="s">
        <v>349</v>
      </c>
      <c r="H261" s="322">
        <v>18389000</v>
      </c>
      <c r="I261" s="322">
        <v>1532412</v>
      </c>
      <c r="J261" s="322">
        <v>1532412</v>
      </c>
      <c r="K261" s="322">
        <v>1532412</v>
      </c>
      <c r="L261" s="322">
        <v>1532412</v>
      </c>
      <c r="M261" s="322">
        <v>0</v>
      </c>
      <c r="N261" s="322">
        <v>1532412</v>
      </c>
      <c r="O261" s="322">
        <v>1532412</v>
      </c>
      <c r="P261" s="322">
        <v>1532412</v>
      </c>
      <c r="Q261" s="322">
        <v>1532412</v>
      </c>
      <c r="R261" s="322">
        <v>0</v>
      </c>
      <c r="S261" s="322">
        <v>0</v>
      </c>
      <c r="T261" s="322">
        <v>0</v>
      </c>
      <c r="U261" s="322">
        <f t="shared" si="84"/>
        <v>12259296</v>
      </c>
      <c r="V261" s="248">
        <f t="shared" si="88"/>
        <v>6129704</v>
      </c>
      <c r="W261" s="35">
        <v>0</v>
      </c>
      <c r="X261" s="247">
        <f t="shared" si="89"/>
        <v>66.66646364674533</v>
      </c>
    </row>
    <row r="262" spans="2:24" ht="12.75">
      <c r="B262" s="91" t="s">
        <v>308</v>
      </c>
      <c r="C262" s="92" t="s">
        <v>42</v>
      </c>
      <c r="D262" s="93" t="s">
        <v>30</v>
      </c>
      <c r="E262" s="92"/>
      <c r="F262" s="94"/>
      <c r="G262" s="126" t="s">
        <v>31</v>
      </c>
      <c r="H262" s="322">
        <v>12400000</v>
      </c>
      <c r="I262" s="322">
        <v>874472</v>
      </c>
      <c r="J262" s="322">
        <v>0</v>
      </c>
      <c r="K262" s="322">
        <v>0</v>
      </c>
      <c r="L262" s="322">
        <v>2623416</v>
      </c>
      <c r="M262" s="322">
        <v>0</v>
      </c>
      <c r="N262" s="322">
        <v>825206</v>
      </c>
      <c r="O262" s="322">
        <v>825206</v>
      </c>
      <c r="P262" s="322">
        <v>0</v>
      </c>
      <c r="Q262" s="322">
        <v>0</v>
      </c>
      <c r="R262" s="322">
        <v>0</v>
      </c>
      <c r="S262" s="322">
        <v>0</v>
      </c>
      <c r="T262" s="322">
        <v>0</v>
      </c>
      <c r="U262" s="322">
        <f t="shared" si="84"/>
        <v>5148300</v>
      </c>
      <c r="V262" s="248">
        <f t="shared" si="88"/>
        <v>7251700</v>
      </c>
      <c r="W262" s="35"/>
      <c r="X262" s="247">
        <f t="shared" si="89"/>
        <v>41.51854838709678</v>
      </c>
    </row>
    <row r="263" spans="2:24" ht="12.75">
      <c r="B263" s="86" t="s">
        <v>308</v>
      </c>
      <c r="C263" s="87" t="s">
        <v>76</v>
      </c>
      <c r="D263" s="88"/>
      <c r="E263" s="87"/>
      <c r="F263" s="89"/>
      <c r="G263" s="90" t="s">
        <v>350</v>
      </c>
      <c r="H263" s="226">
        <f>SUM(H264:H271)</f>
        <v>91879000</v>
      </c>
      <c r="I263" s="226">
        <f>SUM(I264:I271)</f>
        <v>962115</v>
      </c>
      <c r="J263" s="226">
        <f aca="true" t="shared" si="91" ref="J263:S263">SUM(J264:J271)</f>
        <v>5986541</v>
      </c>
      <c r="K263" s="226">
        <f t="shared" si="91"/>
        <v>1936261</v>
      </c>
      <c r="L263" s="226">
        <f t="shared" si="91"/>
        <v>2185278</v>
      </c>
      <c r="M263" s="226">
        <f t="shared" si="91"/>
        <v>893679</v>
      </c>
      <c r="N263" s="226">
        <f>SUM(N264:N271)</f>
        <v>12424717</v>
      </c>
      <c r="O263" s="226">
        <f t="shared" si="91"/>
        <v>1824442</v>
      </c>
      <c r="P263" s="226">
        <f t="shared" si="91"/>
        <v>2344297</v>
      </c>
      <c r="Q263" s="226">
        <f t="shared" si="91"/>
        <v>5017382</v>
      </c>
      <c r="R263" s="226">
        <f t="shared" si="91"/>
        <v>0</v>
      </c>
      <c r="S263" s="226">
        <f t="shared" si="91"/>
        <v>0</v>
      </c>
      <c r="T263" s="226">
        <f>SUM(T264:T271)</f>
        <v>0</v>
      </c>
      <c r="U263" s="226">
        <f>SUM(U264:U271)</f>
        <v>33574712</v>
      </c>
      <c r="V263" s="243">
        <f t="shared" si="88"/>
        <v>58304288</v>
      </c>
      <c r="W263" s="241">
        <f>SUM(W264:W271)</f>
        <v>0</v>
      </c>
      <c r="X263" s="247">
        <f t="shared" si="89"/>
        <v>36.54231325983087</v>
      </c>
    </row>
    <row r="264" spans="2:24" ht="12.75">
      <c r="B264" s="91" t="s">
        <v>308</v>
      </c>
      <c r="C264" s="92" t="s">
        <v>76</v>
      </c>
      <c r="D264" s="93" t="s">
        <v>14</v>
      </c>
      <c r="E264" s="92"/>
      <c r="F264" s="94"/>
      <c r="G264" s="95" t="s">
        <v>351</v>
      </c>
      <c r="H264" s="322">
        <v>28770000</v>
      </c>
      <c r="I264" s="322">
        <v>128520</v>
      </c>
      <c r="J264" s="322">
        <v>3930210</v>
      </c>
      <c r="K264" s="322">
        <v>1220940</v>
      </c>
      <c r="L264" s="322">
        <v>0</v>
      </c>
      <c r="M264" s="322">
        <v>0</v>
      </c>
      <c r="N264" s="322">
        <v>1166094</v>
      </c>
      <c r="O264" s="322">
        <v>721501</v>
      </c>
      <c r="P264" s="322">
        <v>1157819</v>
      </c>
      <c r="Q264" s="322">
        <v>126501</v>
      </c>
      <c r="R264" s="322">
        <v>0</v>
      </c>
      <c r="S264" s="322">
        <v>0</v>
      </c>
      <c r="T264" s="322">
        <v>0</v>
      </c>
      <c r="U264" s="322">
        <f t="shared" si="84"/>
        <v>8451585</v>
      </c>
      <c r="V264" s="248">
        <f t="shared" si="88"/>
        <v>20318415</v>
      </c>
      <c r="W264" s="35">
        <v>0</v>
      </c>
      <c r="X264" s="247">
        <f t="shared" si="89"/>
        <v>29.376381647549533</v>
      </c>
    </row>
    <row r="265" spans="2:24" ht="12.75">
      <c r="B265" s="91" t="s">
        <v>308</v>
      </c>
      <c r="C265" s="92" t="s">
        <v>76</v>
      </c>
      <c r="D265" s="93" t="s">
        <v>17</v>
      </c>
      <c r="E265" s="92"/>
      <c r="F265" s="94"/>
      <c r="G265" s="95" t="s">
        <v>352</v>
      </c>
      <c r="H265" s="322">
        <v>19068000</v>
      </c>
      <c r="I265" s="322">
        <v>513485</v>
      </c>
      <c r="J265" s="322">
        <v>1019770</v>
      </c>
      <c r="K265" s="322">
        <v>0</v>
      </c>
      <c r="L265" s="322">
        <v>892500</v>
      </c>
      <c r="M265" s="322">
        <v>264500</v>
      </c>
      <c r="N265" s="322">
        <v>537204</v>
      </c>
      <c r="O265" s="322">
        <v>256310</v>
      </c>
      <c r="P265" s="322">
        <v>108000</v>
      </c>
      <c r="Q265" s="322">
        <v>3659173</v>
      </c>
      <c r="R265" s="322">
        <v>0</v>
      </c>
      <c r="S265" s="322">
        <v>0</v>
      </c>
      <c r="T265" s="322">
        <v>0</v>
      </c>
      <c r="U265" s="322">
        <f t="shared" si="84"/>
        <v>7250942</v>
      </c>
      <c r="V265" s="248">
        <f t="shared" si="88"/>
        <v>11817058</v>
      </c>
      <c r="W265" s="35">
        <v>0</v>
      </c>
      <c r="X265" s="247">
        <f t="shared" si="89"/>
        <v>38.026756870148944</v>
      </c>
    </row>
    <row r="266" spans="2:24" ht="12.75">
      <c r="B266" s="91" t="s">
        <v>308</v>
      </c>
      <c r="C266" s="92" t="s">
        <v>76</v>
      </c>
      <c r="D266" s="93" t="s">
        <v>22</v>
      </c>
      <c r="E266" s="92"/>
      <c r="F266" s="94"/>
      <c r="G266" s="95" t="s">
        <v>353</v>
      </c>
      <c r="H266" s="322">
        <v>65000</v>
      </c>
      <c r="I266" s="322">
        <v>0</v>
      </c>
      <c r="J266" s="322">
        <v>0</v>
      </c>
      <c r="K266" s="322">
        <v>0</v>
      </c>
      <c r="L266" s="322">
        <v>0</v>
      </c>
      <c r="M266" s="322">
        <v>0</v>
      </c>
      <c r="N266" s="322">
        <v>0</v>
      </c>
      <c r="O266" s="322">
        <v>0</v>
      </c>
      <c r="P266" s="322">
        <v>0</v>
      </c>
      <c r="Q266" s="322">
        <v>64260</v>
      </c>
      <c r="R266" s="322">
        <v>0</v>
      </c>
      <c r="S266" s="322">
        <v>0</v>
      </c>
      <c r="T266" s="322">
        <v>0</v>
      </c>
      <c r="U266" s="322">
        <f t="shared" si="84"/>
        <v>64260</v>
      </c>
      <c r="V266" s="248">
        <f t="shared" si="88"/>
        <v>740</v>
      </c>
      <c r="W266" s="35"/>
      <c r="X266" s="247">
        <f t="shared" si="89"/>
        <v>98.86153846153846</v>
      </c>
    </row>
    <row r="267" spans="2:24" ht="12.75">
      <c r="B267" s="91" t="s">
        <v>308</v>
      </c>
      <c r="C267" s="92" t="s">
        <v>76</v>
      </c>
      <c r="D267" s="93" t="s">
        <v>28</v>
      </c>
      <c r="E267" s="92"/>
      <c r="F267" s="94"/>
      <c r="G267" s="95" t="s">
        <v>354</v>
      </c>
      <c r="H267" s="322">
        <v>3500000</v>
      </c>
      <c r="I267" s="322">
        <v>0</v>
      </c>
      <c r="J267" s="322">
        <v>0</v>
      </c>
      <c r="K267" s="322">
        <v>0</v>
      </c>
      <c r="L267" s="322">
        <v>0</v>
      </c>
      <c r="M267" s="322">
        <v>0</v>
      </c>
      <c r="N267" s="322">
        <v>2940251</v>
      </c>
      <c r="O267" s="322">
        <v>60000</v>
      </c>
      <c r="P267" s="322">
        <v>0</v>
      </c>
      <c r="Q267" s="322">
        <v>0</v>
      </c>
      <c r="R267" s="322">
        <v>0</v>
      </c>
      <c r="S267" s="322">
        <v>0</v>
      </c>
      <c r="T267" s="322">
        <v>0</v>
      </c>
      <c r="U267" s="322">
        <f t="shared" si="84"/>
        <v>3000251</v>
      </c>
      <c r="V267" s="248">
        <f aca="true" t="shared" si="92" ref="V267:V298">H267-U267</f>
        <v>499749</v>
      </c>
      <c r="W267" s="35">
        <v>0</v>
      </c>
      <c r="X267" s="247">
        <f t="shared" si="89"/>
        <v>85.72145714285713</v>
      </c>
    </row>
    <row r="268" spans="2:24" ht="12.75">
      <c r="B268" s="91" t="s">
        <v>308</v>
      </c>
      <c r="C268" s="92" t="s">
        <v>76</v>
      </c>
      <c r="D268" s="93" t="s">
        <v>54</v>
      </c>
      <c r="E268" s="123"/>
      <c r="F268" s="124"/>
      <c r="G268" s="95" t="s">
        <v>355</v>
      </c>
      <c r="H268" s="322">
        <v>17173000</v>
      </c>
      <c r="I268" s="430">
        <v>320110</v>
      </c>
      <c r="J268" s="430">
        <v>492660</v>
      </c>
      <c r="K268" s="430">
        <v>404600</v>
      </c>
      <c r="L268" s="430">
        <v>709240</v>
      </c>
      <c r="M268" s="430">
        <v>354620</v>
      </c>
      <c r="N268" s="430">
        <v>354620</v>
      </c>
      <c r="O268" s="322">
        <v>354620</v>
      </c>
      <c r="P268" s="430">
        <v>754460</v>
      </c>
      <c r="Q268" s="430">
        <v>408170</v>
      </c>
      <c r="R268" s="430">
        <v>0</v>
      </c>
      <c r="S268" s="430">
        <v>0</v>
      </c>
      <c r="T268" s="322">
        <v>0</v>
      </c>
      <c r="U268" s="322">
        <f t="shared" si="84"/>
        <v>4153100</v>
      </c>
      <c r="V268" s="248">
        <f t="shared" si="92"/>
        <v>13019900</v>
      </c>
      <c r="W268" s="35"/>
      <c r="X268" s="247">
        <f t="shared" si="89"/>
        <v>24.183893320910734</v>
      </c>
    </row>
    <row r="269" spans="2:24" ht="12.75">
      <c r="B269" s="91" t="s">
        <v>308</v>
      </c>
      <c r="C269" s="92" t="s">
        <v>76</v>
      </c>
      <c r="D269" s="93" t="s">
        <v>57</v>
      </c>
      <c r="E269" s="92"/>
      <c r="F269" s="94"/>
      <c r="G269" s="95" t="s">
        <v>356</v>
      </c>
      <c r="H269" s="322">
        <v>20853000</v>
      </c>
      <c r="I269" s="322">
        <v>0</v>
      </c>
      <c r="J269" s="322">
        <v>543901</v>
      </c>
      <c r="K269" s="322">
        <v>310721</v>
      </c>
      <c r="L269" s="322">
        <v>583538</v>
      </c>
      <c r="M269" s="322">
        <v>274559</v>
      </c>
      <c r="N269" s="322">
        <v>7426548</v>
      </c>
      <c r="O269" s="322">
        <v>432011</v>
      </c>
      <c r="P269" s="322">
        <v>324018</v>
      </c>
      <c r="Q269" s="322">
        <v>759278</v>
      </c>
      <c r="R269" s="322">
        <v>0</v>
      </c>
      <c r="S269" s="322">
        <v>0</v>
      </c>
      <c r="T269" s="322">
        <v>0</v>
      </c>
      <c r="U269" s="322">
        <f>SUM(I269:T269)</f>
        <v>10654574</v>
      </c>
      <c r="V269" s="248">
        <f t="shared" si="92"/>
        <v>10198426</v>
      </c>
      <c r="W269" s="35">
        <v>0</v>
      </c>
      <c r="X269" s="247">
        <f t="shared" si="89"/>
        <v>51.09372272574689</v>
      </c>
    </row>
    <row r="270" spans="2:24" ht="12.75">
      <c r="B270" s="91" t="s">
        <v>308</v>
      </c>
      <c r="C270" s="92" t="s">
        <v>76</v>
      </c>
      <c r="D270" s="93" t="s">
        <v>61</v>
      </c>
      <c r="E270" s="92"/>
      <c r="F270" s="94"/>
      <c r="G270" s="95" t="s">
        <v>357</v>
      </c>
      <c r="H270" s="322">
        <v>0</v>
      </c>
      <c r="I270" s="322">
        <v>0</v>
      </c>
      <c r="J270" s="322">
        <v>0</v>
      </c>
      <c r="K270" s="322">
        <v>0</v>
      </c>
      <c r="L270" s="322">
        <v>0</v>
      </c>
      <c r="M270" s="322">
        <v>0</v>
      </c>
      <c r="N270" s="322">
        <v>0</v>
      </c>
      <c r="O270" s="322">
        <v>0</v>
      </c>
      <c r="P270" s="322">
        <v>0</v>
      </c>
      <c r="Q270" s="322">
        <v>0</v>
      </c>
      <c r="R270" s="322">
        <v>0</v>
      </c>
      <c r="S270" s="322">
        <v>0</v>
      </c>
      <c r="T270" s="322">
        <v>0</v>
      </c>
      <c r="U270" s="322">
        <f t="shared" si="84"/>
        <v>0</v>
      </c>
      <c r="V270" s="248">
        <f t="shared" si="92"/>
        <v>0</v>
      </c>
      <c r="W270" s="35"/>
      <c r="X270" s="247" t="e">
        <f t="shared" si="89"/>
        <v>#DIV/0!</v>
      </c>
    </row>
    <row r="271" spans="2:24" ht="12.75">
      <c r="B271" s="91" t="s">
        <v>308</v>
      </c>
      <c r="C271" s="92" t="s">
        <v>76</v>
      </c>
      <c r="D271" s="93" t="s">
        <v>30</v>
      </c>
      <c r="E271" s="92"/>
      <c r="F271" s="94"/>
      <c r="G271" s="95" t="s">
        <v>31</v>
      </c>
      <c r="H271" s="322">
        <v>2450000</v>
      </c>
      <c r="I271" s="322">
        <v>0</v>
      </c>
      <c r="J271" s="322">
        <v>0</v>
      </c>
      <c r="K271" s="322">
        <v>0</v>
      </c>
      <c r="L271" s="322">
        <v>0</v>
      </c>
      <c r="M271" s="322">
        <v>0</v>
      </c>
      <c r="N271" s="322">
        <v>0</v>
      </c>
      <c r="O271" s="322">
        <v>0</v>
      </c>
      <c r="P271" s="322">
        <v>0</v>
      </c>
      <c r="Q271" s="322">
        <v>0</v>
      </c>
      <c r="R271" s="322">
        <v>0</v>
      </c>
      <c r="S271" s="322">
        <v>0</v>
      </c>
      <c r="T271" s="322">
        <v>0</v>
      </c>
      <c r="U271" s="322">
        <f t="shared" si="84"/>
        <v>0</v>
      </c>
      <c r="V271" s="246">
        <f t="shared" si="92"/>
        <v>2450000</v>
      </c>
      <c r="W271" s="37">
        <v>0</v>
      </c>
      <c r="X271" s="247">
        <f t="shared" si="89"/>
        <v>0</v>
      </c>
    </row>
    <row r="272" spans="2:24" ht="12.75">
      <c r="B272" s="86" t="s">
        <v>308</v>
      </c>
      <c r="C272" s="87" t="s">
        <v>78</v>
      </c>
      <c r="D272" s="88"/>
      <c r="E272" s="87"/>
      <c r="F272" s="89"/>
      <c r="G272" s="90" t="s">
        <v>358</v>
      </c>
      <c r="H272" s="226">
        <f>SUM(H273:H276)</f>
        <v>313867000</v>
      </c>
      <c r="I272" s="226">
        <f>SUM(I273:I276)</f>
        <v>4582494</v>
      </c>
      <c r="J272" s="226">
        <f aca="true" t="shared" si="93" ref="J272:S272">SUM(J273:J276)</f>
        <v>3127112</v>
      </c>
      <c r="K272" s="226">
        <f t="shared" si="93"/>
        <v>9246168</v>
      </c>
      <c r="L272" s="226">
        <f t="shared" si="93"/>
        <v>17293985</v>
      </c>
      <c r="M272" s="226">
        <f t="shared" si="93"/>
        <v>38911790</v>
      </c>
      <c r="N272" s="226">
        <f>SUM(N273:N276)</f>
        <v>55203211</v>
      </c>
      <c r="O272" s="226">
        <f t="shared" si="93"/>
        <v>17719592</v>
      </c>
      <c r="P272" s="226">
        <f t="shared" si="93"/>
        <v>49922610</v>
      </c>
      <c r="Q272" s="226">
        <f t="shared" si="93"/>
        <v>10216124</v>
      </c>
      <c r="R272" s="226">
        <f t="shared" si="93"/>
        <v>0</v>
      </c>
      <c r="S272" s="226">
        <f t="shared" si="93"/>
        <v>0</v>
      </c>
      <c r="T272" s="226">
        <f>SUM(T273:T276)</f>
        <v>0</v>
      </c>
      <c r="U272" s="226">
        <f>SUM(U273:U276)</f>
        <v>206223086</v>
      </c>
      <c r="V272" s="243">
        <f t="shared" si="92"/>
        <v>107643914</v>
      </c>
      <c r="W272" s="241">
        <f>SUM(W273:W276)</f>
        <v>0</v>
      </c>
      <c r="X272" s="245">
        <f t="shared" si="89"/>
        <v>65.7039720646006</v>
      </c>
    </row>
    <row r="273" spans="2:24" ht="12.75">
      <c r="B273" s="91" t="s">
        <v>308</v>
      </c>
      <c r="C273" s="92" t="s">
        <v>78</v>
      </c>
      <c r="D273" s="93" t="s">
        <v>14</v>
      </c>
      <c r="E273" s="92"/>
      <c r="F273" s="94"/>
      <c r="G273" s="95" t="s">
        <v>359</v>
      </c>
      <c r="H273" s="322">
        <v>278388000</v>
      </c>
      <c r="I273" s="322">
        <f>2783333+984011+208250+330820</f>
        <v>4306414</v>
      </c>
      <c r="J273" s="322">
        <f>333333+130900+418880+1747098</f>
        <v>2630211</v>
      </c>
      <c r="K273" s="322">
        <f>2070564+2042040</f>
        <v>4112604</v>
      </c>
      <c r="L273" s="322">
        <f>10213377+2207361</f>
        <v>12420738</v>
      </c>
      <c r="M273" s="322">
        <f>6924448+2350212+944860+25794164+1330420</f>
        <v>37344104</v>
      </c>
      <c r="N273" s="322">
        <f>8007348+2554797+90440+375445+29343437+160055+297500+3415300+8330000</f>
        <v>52574322</v>
      </c>
      <c r="O273" s="322">
        <f>6626948+32130+279591+7638569+1094229+1333812</f>
        <v>17005279</v>
      </c>
      <c r="P273" s="322">
        <f>8845059+10972326+490899+1865443+24148313+645302+1527214</f>
        <v>48494556</v>
      </c>
      <c r="Q273" s="322">
        <f>7838448+204699+1527214</f>
        <v>9570361</v>
      </c>
      <c r="R273" s="322">
        <v>0</v>
      </c>
      <c r="S273" s="322">
        <v>0</v>
      </c>
      <c r="T273" s="322">
        <v>0</v>
      </c>
      <c r="U273" s="322">
        <f t="shared" si="84"/>
        <v>188458589</v>
      </c>
      <c r="V273" s="248">
        <f t="shared" si="92"/>
        <v>89929411</v>
      </c>
      <c r="W273" s="35">
        <v>0</v>
      </c>
      <c r="X273" s="247">
        <f t="shared" si="89"/>
        <v>67.69637663979769</v>
      </c>
    </row>
    <row r="274" spans="2:24" ht="12.75">
      <c r="B274" s="91" t="s">
        <v>308</v>
      </c>
      <c r="C274" s="92" t="s">
        <v>78</v>
      </c>
      <c r="D274" s="93" t="s">
        <v>17</v>
      </c>
      <c r="E274" s="129"/>
      <c r="F274" s="118"/>
      <c r="G274" s="95" t="s">
        <v>360</v>
      </c>
      <c r="H274" s="322">
        <v>35479000</v>
      </c>
      <c r="I274" s="322">
        <v>276080</v>
      </c>
      <c r="J274" s="322">
        <v>496901</v>
      </c>
      <c r="K274" s="322">
        <v>5133564</v>
      </c>
      <c r="L274" s="322">
        <v>4873247</v>
      </c>
      <c r="M274" s="322">
        <v>1567686</v>
      </c>
      <c r="N274" s="322">
        <v>2628889</v>
      </c>
      <c r="O274" s="322">
        <v>714313</v>
      </c>
      <c r="P274" s="322">
        <v>1428054</v>
      </c>
      <c r="Q274" s="322">
        <f>547802+97961</f>
        <v>645763</v>
      </c>
      <c r="R274" s="322">
        <v>0</v>
      </c>
      <c r="S274" s="322">
        <v>0</v>
      </c>
      <c r="T274" s="322">
        <v>0</v>
      </c>
      <c r="U274" s="322">
        <f t="shared" si="84"/>
        <v>17764497</v>
      </c>
      <c r="V274" s="248">
        <f t="shared" si="92"/>
        <v>17714503</v>
      </c>
      <c r="W274" s="35"/>
      <c r="X274" s="247">
        <f t="shared" si="89"/>
        <v>50.07045576256377</v>
      </c>
    </row>
    <row r="275" spans="2:24" ht="12.75">
      <c r="B275" s="91" t="s">
        <v>308</v>
      </c>
      <c r="C275" s="92" t="s">
        <v>78</v>
      </c>
      <c r="D275" s="93" t="s">
        <v>22</v>
      </c>
      <c r="E275" s="129"/>
      <c r="F275" s="118"/>
      <c r="G275" s="95" t="s">
        <v>361</v>
      </c>
      <c r="H275" s="322">
        <v>0</v>
      </c>
      <c r="I275" s="322">
        <v>0</v>
      </c>
      <c r="J275" s="322">
        <v>0</v>
      </c>
      <c r="K275" s="322">
        <v>0</v>
      </c>
      <c r="L275" s="322">
        <v>0</v>
      </c>
      <c r="M275" s="322">
        <v>0</v>
      </c>
      <c r="N275" s="322">
        <v>0</v>
      </c>
      <c r="O275" s="322">
        <v>0</v>
      </c>
      <c r="P275" s="322">
        <v>0</v>
      </c>
      <c r="Q275" s="322">
        <v>0</v>
      </c>
      <c r="R275" s="322">
        <v>0</v>
      </c>
      <c r="S275" s="322">
        <v>0</v>
      </c>
      <c r="T275" s="322">
        <v>0</v>
      </c>
      <c r="U275" s="322">
        <f t="shared" si="84"/>
        <v>0</v>
      </c>
      <c r="V275" s="248">
        <f t="shared" si="92"/>
        <v>0</v>
      </c>
      <c r="W275" s="35"/>
      <c r="X275" s="247">
        <v>0</v>
      </c>
    </row>
    <row r="276" spans="2:24" ht="12.75">
      <c r="B276" s="91" t="s">
        <v>308</v>
      </c>
      <c r="C276" s="92" t="s">
        <v>78</v>
      </c>
      <c r="D276" s="93" t="s">
        <v>30</v>
      </c>
      <c r="E276" s="92"/>
      <c r="F276" s="94"/>
      <c r="G276" s="95" t="s">
        <v>31</v>
      </c>
      <c r="H276" s="322">
        <v>0</v>
      </c>
      <c r="I276" s="322">
        <v>0</v>
      </c>
      <c r="J276" s="322">
        <v>0</v>
      </c>
      <c r="K276" s="322">
        <v>0</v>
      </c>
      <c r="L276" s="322">
        <v>0</v>
      </c>
      <c r="M276" s="322">
        <v>0</v>
      </c>
      <c r="N276" s="322">
        <v>0</v>
      </c>
      <c r="O276" s="322">
        <v>0</v>
      </c>
      <c r="P276" s="322">
        <v>0</v>
      </c>
      <c r="Q276" s="322">
        <v>0</v>
      </c>
      <c r="R276" s="322">
        <v>0</v>
      </c>
      <c r="S276" s="322">
        <v>0</v>
      </c>
      <c r="T276" s="322">
        <v>0</v>
      </c>
      <c r="U276" s="322">
        <f t="shared" si="84"/>
        <v>0</v>
      </c>
      <c r="V276" s="248">
        <f t="shared" si="92"/>
        <v>0</v>
      </c>
      <c r="W276" s="35"/>
      <c r="X276" s="247">
        <v>0</v>
      </c>
    </row>
    <row r="277" spans="2:24" ht="12.75">
      <c r="B277" s="86" t="s">
        <v>308</v>
      </c>
      <c r="C277" s="87" t="s">
        <v>89</v>
      </c>
      <c r="D277" s="88"/>
      <c r="E277" s="87"/>
      <c r="F277" s="89"/>
      <c r="G277" s="90" t="s">
        <v>362</v>
      </c>
      <c r="H277" s="226">
        <f>SUM(H278:H289)</f>
        <v>9989002000</v>
      </c>
      <c r="I277" s="226">
        <f>SUM(I278:I289)</f>
        <v>735417681</v>
      </c>
      <c r="J277" s="226">
        <f aca="true" t="shared" si="94" ref="J277:S277">SUM(J278:J289)</f>
        <v>690373654</v>
      </c>
      <c r="K277" s="226">
        <f t="shared" si="94"/>
        <v>855050403</v>
      </c>
      <c r="L277" s="226">
        <f t="shared" si="94"/>
        <v>811200249</v>
      </c>
      <c r="M277" s="226">
        <f t="shared" si="94"/>
        <v>636096627</v>
      </c>
      <c r="N277" s="226">
        <f>SUM(N278:N289)</f>
        <v>695648777</v>
      </c>
      <c r="O277" s="226">
        <f t="shared" si="94"/>
        <v>827026088</v>
      </c>
      <c r="P277" s="226">
        <f t="shared" si="94"/>
        <v>593790171</v>
      </c>
      <c r="Q277" s="226">
        <f t="shared" si="94"/>
        <v>999410432</v>
      </c>
      <c r="R277" s="226">
        <f t="shared" si="94"/>
        <v>0</v>
      </c>
      <c r="S277" s="226">
        <f t="shared" si="94"/>
        <v>0</v>
      </c>
      <c r="T277" s="226">
        <f>SUM(T278:T289)</f>
        <v>0</v>
      </c>
      <c r="U277" s="226">
        <f>SUM(U278:U289)</f>
        <v>6844014082</v>
      </c>
      <c r="V277" s="243">
        <f t="shared" si="92"/>
        <v>3144987918</v>
      </c>
      <c r="W277" s="241">
        <f>SUM(W278:W289)</f>
        <v>0</v>
      </c>
      <c r="X277" s="245">
        <f aca="true" t="shared" si="95" ref="X277:X282">SUM(U277/H277)*100</f>
        <v>68.5154941604777</v>
      </c>
    </row>
    <row r="278" spans="2:24" ht="12.75">
      <c r="B278" s="91" t="s">
        <v>308</v>
      </c>
      <c r="C278" s="92" t="s">
        <v>89</v>
      </c>
      <c r="D278" s="93" t="s">
        <v>14</v>
      </c>
      <c r="E278" s="96"/>
      <c r="F278" s="97"/>
      <c r="G278" s="95" t="s">
        <v>363</v>
      </c>
      <c r="H278" s="322">
        <v>5024723000</v>
      </c>
      <c r="I278" s="322">
        <f>15502898+352950713+5400052</f>
        <v>373853663</v>
      </c>
      <c r="J278" s="322">
        <f>-352950713+705901426+61376275</f>
        <v>414326988</v>
      </c>
      <c r="K278" s="322">
        <f>352950713+61509898</f>
        <v>414460611</v>
      </c>
      <c r="L278" s="322">
        <f>352950713+53192309</f>
        <v>406143022</v>
      </c>
      <c r="M278" s="322">
        <f>320905115+58837148</f>
        <v>379742263</v>
      </c>
      <c r="N278" s="322">
        <v>318577777</v>
      </c>
      <c r="O278" s="322">
        <f>65082095+318577777</f>
        <v>383659872</v>
      </c>
      <c r="P278" s="322">
        <f>318577777+103398655</f>
        <v>421976432</v>
      </c>
      <c r="Q278" s="322">
        <f>318577777+49635486</f>
        <v>368213263</v>
      </c>
      <c r="R278" s="322">
        <v>0</v>
      </c>
      <c r="S278" s="322">
        <v>0</v>
      </c>
      <c r="T278" s="322">
        <v>0</v>
      </c>
      <c r="U278" s="322">
        <f t="shared" si="84"/>
        <v>3480953891</v>
      </c>
      <c r="V278" s="248">
        <f t="shared" si="92"/>
        <v>1543769109</v>
      </c>
      <c r="W278" s="35">
        <v>0</v>
      </c>
      <c r="X278" s="247">
        <f t="shared" si="95"/>
        <v>69.27653307455954</v>
      </c>
    </row>
    <row r="279" spans="2:24" ht="12.75">
      <c r="B279" s="91" t="s">
        <v>308</v>
      </c>
      <c r="C279" s="92" t="s">
        <v>89</v>
      </c>
      <c r="D279" s="93" t="s">
        <v>17</v>
      </c>
      <c r="E279" s="96"/>
      <c r="F279" s="97"/>
      <c r="G279" s="95" t="s">
        <v>364</v>
      </c>
      <c r="H279" s="322">
        <v>319995000</v>
      </c>
      <c r="I279" s="322">
        <v>2946655</v>
      </c>
      <c r="J279" s="322">
        <v>17783926</v>
      </c>
      <c r="K279" s="322">
        <v>35334064</v>
      </c>
      <c r="L279" s="322">
        <v>17667032</v>
      </c>
      <c r="M279" s="322">
        <v>0</v>
      </c>
      <c r="N279" s="322">
        <v>17667032</v>
      </c>
      <c r="O279" s="322">
        <v>47254322</v>
      </c>
      <c r="P279" s="322">
        <v>48796987</v>
      </c>
      <c r="Q279" s="322">
        <v>20027349</v>
      </c>
      <c r="R279" s="322">
        <v>0</v>
      </c>
      <c r="S279" s="322">
        <v>0</v>
      </c>
      <c r="T279" s="322">
        <v>0</v>
      </c>
      <c r="U279" s="322">
        <f t="shared" si="84"/>
        <v>207477367</v>
      </c>
      <c r="V279" s="248">
        <f t="shared" si="92"/>
        <v>112517633</v>
      </c>
      <c r="W279" s="35"/>
      <c r="X279" s="247">
        <f t="shared" si="95"/>
        <v>64.83769027641057</v>
      </c>
    </row>
    <row r="280" spans="2:24" ht="12.75">
      <c r="B280" s="91" t="s">
        <v>308</v>
      </c>
      <c r="C280" s="92" t="s">
        <v>89</v>
      </c>
      <c r="D280" s="93" t="s">
        <v>22</v>
      </c>
      <c r="E280" s="96"/>
      <c r="F280" s="97"/>
      <c r="G280" s="95" t="s">
        <v>365</v>
      </c>
      <c r="H280" s="322">
        <v>2555548000</v>
      </c>
      <c r="I280" s="322">
        <v>234237319</v>
      </c>
      <c r="J280" s="322">
        <v>190237069</v>
      </c>
      <c r="K280" s="322">
        <v>214837889</v>
      </c>
      <c r="L280" s="322">
        <v>190237069</v>
      </c>
      <c r="M280" s="322">
        <v>214837889</v>
      </c>
      <c r="N280" s="322">
        <v>190237069</v>
      </c>
      <c r="O280" s="322">
        <v>198091069</v>
      </c>
      <c r="P280" s="322">
        <v>8200273</v>
      </c>
      <c r="Q280" s="322">
        <v>479466816</v>
      </c>
      <c r="R280" s="322">
        <v>0</v>
      </c>
      <c r="S280" s="322">
        <v>0</v>
      </c>
      <c r="T280" s="322">
        <v>0</v>
      </c>
      <c r="U280" s="322">
        <f t="shared" si="84"/>
        <v>1920382462</v>
      </c>
      <c r="V280" s="248">
        <f t="shared" si="92"/>
        <v>635165538</v>
      </c>
      <c r="W280" s="35">
        <v>0</v>
      </c>
      <c r="X280" s="247">
        <f t="shared" si="95"/>
        <v>75.1456228566241</v>
      </c>
    </row>
    <row r="281" spans="2:24" ht="12.75">
      <c r="B281" s="91" t="s">
        <v>308</v>
      </c>
      <c r="C281" s="92" t="s">
        <v>89</v>
      </c>
      <c r="D281" s="93" t="s">
        <v>28</v>
      </c>
      <c r="E281" s="96"/>
      <c r="F281" s="97"/>
      <c r="G281" s="95" t="s">
        <v>366</v>
      </c>
      <c r="H281" s="322">
        <v>425014000</v>
      </c>
      <c r="I281" s="322">
        <v>28602006</v>
      </c>
      <c r="J281" s="322">
        <v>28602006</v>
      </c>
      <c r="K281" s="322">
        <v>28602006</v>
      </c>
      <c r="L281" s="322">
        <v>57204012</v>
      </c>
      <c r="M281" s="322">
        <v>0</v>
      </c>
      <c r="N281" s="322">
        <v>57204012</v>
      </c>
      <c r="O281" s="322">
        <v>0</v>
      </c>
      <c r="P281" s="322">
        <v>57204012</v>
      </c>
      <c r="Q281" s="322">
        <v>28602006</v>
      </c>
      <c r="R281" s="322">
        <v>0</v>
      </c>
      <c r="S281" s="322">
        <v>0</v>
      </c>
      <c r="T281" s="322">
        <v>0</v>
      </c>
      <c r="U281" s="322">
        <f t="shared" si="84"/>
        <v>286020060</v>
      </c>
      <c r="V281" s="248">
        <f t="shared" si="92"/>
        <v>138993940</v>
      </c>
      <c r="W281" s="35">
        <v>0</v>
      </c>
      <c r="X281" s="247">
        <f t="shared" si="95"/>
        <v>67.29662081719661</v>
      </c>
    </row>
    <row r="282" spans="2:24" ht="12.75">
      <c r="B282" s="91" t="s">
        <v>308</v>
      </c>
      <c r="C282" s="92" t="s">
        <v>89</v>
      </c>
      <c r="D282" s="93" t="s">
        <v>54</v>
      </c>
      <c r="E282" s="96"/>
      <c r="F282" s="97"/>
      <c r="G282" s="95" t="s">
        <v>367</v>
      </c>
      <c r="H282" s="322">
        <v>217500000</v>
      </c>
      <c r="I282" s="322">
        <v>0</v>
      </c>
      <c r="J282" s="322">
        <v>35638596</v>
      </c>
      <c r="K282" s="322">
        <v>0</v>
      </c>
      <c r="L282" s="322">
        <v>11879532</v>
      </c>
      <c r="M282" s="322">
        <v>11957567</v>
      </c>
      <c r="N282" s="322">
        <v>0</v>
      </c>
      <c r="O282" s="322">
        <v>36294687</v>
      </c>
      <c r="P282" s="322">
        <v>18926066</v>
      </c>
      <c r="Q282" s="322">
        <v>0</v>
      </c>
      <c r="R282" s="322">
        <v>0</v>
      </c>
      <c r="S282" s="322">
        <v>0</v>
      </c>
      <c r="T282" s="322">
        <v>0</v>
      </c>
      <c r="U282" s="322">
        <f t="shared" si="84"/>
        <v>114696448</v>
      </c>
      <c r="V282" s="248">
        <f t="shared" si="92"/>
        <v>102803552</v>
      </c>
      <c r="W282" s="35"/>
      <c r="X282" s="247">
        <f t="shared" si="95"/>
        <v>52.73399908045977</v>
      </c>
    </row>
    <row r="283" spans="2:24" ht="12.75">
      <c r="B283" s="91" t="s">
        <v>308</v>
      </c>
      <c r="C283" s="92" t="s">
        <v>89</v>
      </c>
      <c r="D283" s="93" t="s">
        <v>57</v>
      </c>
      <c r="E283" s="96"/>
      <c r="F283" s="97"/>
      <c r="G283" s="95" t="s">
        <v>368</v>
      </c>
      <c r="H283" s="322">
        <v>405000000</v>
      </c>
      <c r="I283" s="322">
        <v>0</v>
      </c>
      <c r="J283" s="322">
        <v>0</v>
      </c>
      <c r="K283" s="322">
        <v>84076875</v>
      </c>
      <c r="L283" s="322">
        <v>4970630</v>
      </c>
      <c r="M283" s="322">
        <v>19725984</v>
      </c>
      <c r="N283" s="322">
        <v>15920296</v>
      </c>
      <c r="O283" s="322">
        <v>48934931</v>
      </c>
      <c r="P283" s="322">
        <v>0</v>
      </c>
      <c r="Q283" s="322">
        <v>38310449</v>
      </c>
      <c r="R283" s="322">
        <v>0</v>
      </c>
      <c r="S283" s="322">
        <v>0</v>
      </c>
      <c r="T283" s="322">
        <v>0</v>
      </c>
      <c r="U283" s="322">
        <f t="shared" si="84"/>
        <v>211939165</v>
      </c>
      <c r="V283" s="248">
        <f t="shared" si="92"/>
        <v>193060835</v>
      </c>
      <c r="W283" s="35"/>
      <c r="X283" s="247">
        <v>0</v>
      </c>
    </row>
    <row r="284" spans="2:24" ht="12.75">
      <c r="B284" s="91" t="s">
        <v>308</v>
      </c>
      <c r="C284" s="92" t="s">
        <v>89</v>
      </c>
      <c r="D284" s="93" t="s">
        <v>61</v>
      </c>
      <c r="E284" s="96"/>
      <c r="F284" s="97"/>
      <c r="G284" s="95" t="s">
        <v>369</v>
      </c>
      <c r="H284" s="322">
        <v>12185000</v>
      </c>
      <c r="I284" s="322">
        <v>9408328</v>
      </c>
      <c r="J284" s="322">
        <v>-8763320</v>
      </c>
      <c r="K284" s="322">
        <v>3693417</v>
      </c>
      <c r="L284" s="322">
        <v>306792</v>
      </c>
      <c r="M284" s="322">
        <v>224360</v>
      </c>
      <c r="N284" s="322">
        <v>237230</v>
      </c>
      <c r="O284" s="322">
        <v>207247</v>
      </c>
      <c r="P284" s="322">
        <v>405160</v>
      </c>
      <c r="Q284" s="322">
        <f>1948372+1697696</f>
        <v>3646068</v>
      </c>
      <c r="R284" s="322">
        <v>0</v>
      </c>
      <c r="S284" s="322">
        <v>0</v>
      </c>
      <c r="T284" s="322">
        <v>0</v>
      </c>
      <c r="U284" s="322">
        <f t="shared" si="84"/>
        <v>9365282</v>
      </c>
      <c r="V284" s="248">
        <f t="shared" si="92"/>
        <v>2819718</v>
      </c>
      <c r="W284" s="35"/>
      <c r="X284" s="247">
        <f aca="true" t="shared" si="96" ref="X284:X290">SUM(U284/H284)*100</f>
        <v>76.85910545752975</v>
      </c>
    </row>
    <row r="285" spans="2:24" ht="12.75">
      <c r="B285" s="91" t="s">
        <v>308</v>
      </c>
      <c r="C285" s="92" t="s">
        <v>89</v>
      </c>
      <c r="D285" s="93" t="s">
        <v>65</v>
      </c>
      <c r="E285" s="96"/>
      <c r="F285" s="97"/>
      <c r="G285" s="95" t="s">
        <v>370</v>
      </c>
      <c r="H285" s="322">
        <v>7200000</v>
      </c>
      <c r="I285" s="322">
        <v>390000</v>
      </c>
      <c r="J285" s="322">
        <v>400000</v>
      </c>
      <c r="K285" s="322">
        <v>890000</v>
      </c>
      <c r="L285" s="322">
        <v>430000</v>
      </c>
      <c r="M285" s="322">
        <v>430000</v>
      </c>
      <c r="N285" s="322">
        <v>430000</v>
      </c>
      <c r="O285" s="322">
        <v>430000</v>
      </c>
      <c r="P285" s="322">
        <v>430000</v>
      </c>
      <c r="Q285" s="322">
        <v>430000</v>
      </c>
      <c r="R285" s="322">
        <v>0</v>
      </c>
      <c r="S285" s="322">
        <v>0</v>
      </c>
      <c r="T285" s="322">
        <v>0</v>
      </c>
      <c r="U285" s="322">
        <f t="shared" si="84"/>
        <v>4260000</v>
      </c>
      <c r="V285" s="248">
        <f t="shared" si="92"/>
        <v>2940000</v>
      </c>
      <c r="W285" s="35"/>
      <c r="X285" s="247">
        <f t="shared" si="96"/>
        <v>59.166666666666664</v>
      </c>
    </row>
    <row r="286" spans="2:24" ht="12.75">
      <c r="B286" s="91" t="s">
        <v>308</v>
      </c>
      <c r="C286" s="92" t="s">
        <v>89</v>
      </c>
      <c r="D286" s="93" t="s">
        <v>182</v>
      </c>
      <c r="E286" s="96"/>
      <c r="F286" s="97"/>
      <c r="G286" s="95" t="s">
        <v>371</v>
      </c>
      <c r="H286" s="322">
        <v>60000000</v>
      </c>
      <c r="I286" s="322">
        <v>933750</v>
      </c>
      <c r="J286" s="322">
        <v>3227339</v>
      </c>
      <c r="K286" s="322">
        <v>6690692</v>
      </c>
      <c r="L286" s="322">
        <v>4166082</v>
      </c>
      <c r="M286" s="322">
        <v>0</v>
      </c>
      <c r="N286" s="322">
        <v>0</v>
      </c>
      <c r="O286" s="322">
        <v>42895550</v>
      </c>
      <c r="P286" s="322">
        <v>2072801</v>
      </c>
      <c r="Q286" s="322">
        <v>0</v>
      </c>
      <c r="R286" s="322">
        <v>0</v>
      </c>
      <c r="S286" s="322">
        <v>0</v>
      </c>
      <c r="T286" s="322">
        <v>0</v>
      </c>
      <c r="U286" s="322">
        <f t="shared" si="84"/>
        <v>59986214</v>
      </c>
      <c r="V286" s="248">
        <f t="shared" si="92"/>
        <v>13786</v>
      </c>
      <c r="W286" s="35">
        <v>0</v>
      </c>
      <c r="X286" s="247">
        <f t="shared" si="96"/>
        <v>99.97702333333334</v>
      </c>
    </row>
    <row r="287" spans="2:24" ht="12.75">
      <c r="B287" s="91" t="s">
        <v>308</v>
      </c>
      <c r="C287" s="92" t="s">
        <v>89</v>
      </c>
      <c r="D287" s="93" t="s">
        <v>192</v>
      </c>
      <c r="E287" s="96"/>
      <c r="F287" s="97"/>
      <c r="G287" s="95" t="s">
        <v>372</v>
      </c>
      <c r="H287" s="322">
        <v>500000</v>
      </c>
      <c r="I287" s="322">
        <v>499800</v>
      </c>
      <c r="J287" s="322">
        <v>0</v>
      </c>
      <c r="K287" s="322">
        <v>0</v>
      </c>
      <c r="L287" s="322">
        <v>0</v>
      </c>
      <c r="M287" s="322">
        <v>0</v>
      </c>
      <c r="N287" s="322">
        <v>0</v>
      </c>
      <c r="O287" s="322">
        <v>0</v>
      </c>
      <c r="P287" s="322">
        <v>0</v>
      </c>
      <c r="Q287" s="322">
        <v>0</v>
      </c>
      <c r="R287" s="322">
        <v>0</v>
      </c>
      <c r="S287" s="322">
        <v>0</v>
      </c>
      <c r="T287" s="322">
        <v>0</v>
      </c>
      <c r="U287" s="322">
        <f t="shared" si="84"/>
        <v>499800</v>
      </c>
      <c r="V287" s="248">
        <f t="shared" si="92"/>
        <v>200</v>
      </c>
      <c r="W287" s="35">
        <v>0</v>
      </c>
      <c r="X287" s="247">
        <f t="shared" si="96"/>
        <v>99.96000000000001</v>
      </c>
    </row>
    <row r="288" spans="2:24" ht="12.75">
      <c r="B288" s="91" t="s">
        <v>308</v>
      </c>
      <c r="C288" s="92" t="s">
        <v>89</v>
      </c>
      <c r="D288" s="93" t="s">
        <v>195</v>
      </c>
      <c r="E288" s="96"/>
      <c r="F288" s="97"/>
      <c r="G288" s="95" t="s">
        <v>373</v>
      </c>
      <c r="H288" s="322">
        <v>575295000</v>
      </c>
      <c r="I288" s="322">
        <v>46906200</v>
      </c>
      <c r="J288" s="322">
        <f>1065050+3855600+1500400</f>
        <v>6421050</v>
      </c>
      <c r="K288" s="322">
        <f>556999+62000000+119000</f>
        <v>62675999</v>
      </c>
      <c r="L288" s="322">
        <f>17043600+9459000+61215000</f>
        <v>87717600</v>
      </c>
      <c r="M288" s="322">
        <f>3082284+1660086+170000</f>
        <v>4912370</v>
      </c>
      <c r="N288" s="322">
        <f>400000+2438768+429880</f>
        <v>3268648</v>
      </c>
      <c r="O288" s="322">
        <f>3651167+11562340</f>
        <v>15213507</v>
      </c>
      <c r="P288" s="322">
        <f>425000+12107220+2350811</f>
        <v>14883031</v>
      </c>
      <c r="Q288" s="322">
        <f>27030639+13970600+5722035</f>
        <v>46723274</v>
      </c>
      <c r="R288" s="322">
        <v>0</v>
      </c>
      <c r="S288" s="322">
        <v>0</v>
      </c>
      <c r="T288" s="322">
        <v>0</v>
      </c>
      <c r="U288" s="322">
        <f aca="true" t="shared" si="97" ref="U288:U316">SUM(I288:T288)</f>
        <v>288721679</v>
      </c>
      <c r="V288" s="248">
        <f t="shared" si="92"/>
        <v>286573321</v>
      </c>
      <c r="W288" s="35">
        <v>0</v>
      </c>
      <c r="X288" s="247">
        <f t="shared" si="96"/>
        <v>50.18671794470663</v>
      </c>
    </row>
    <row r="289" spans="2:24" ht="12.75">
      <c r="B289" s="91" t="s">
        <v>308</v>
      </c>
      <c r="C289" s="92" t="s">
        <v>89</v>
      </c>
      <c r="D289" s="93" t="s">
        <v>30</v>
      </c>
      <c r="E289" s="96"/>
      <c r="F289" s="97"/>
      <c r="G289" s="95" t="s">
        <v>31</v>
      </c>
      <c r="H289" s="322">
        <v>386042000</v>
      </c>
      <c r="I289" s="322">
        <f>719284+1350981+35569695</f>
        <v>37639960</v>
      </c>
      <c r="J289" s="322">
        <v>2500000</v>
      </c>
      <c r="K289" s="322">
        <f>172892+2183979+171979+1260000</f>
        <v>3788850</v>
      </c>
      <c r="L289" s="322">
        <f>8656988+192102+2982980+14412409+4233999</f>
        <v>30478478</v>
      </c>
      <c r="M289" s="322">
        <f>615182+549102+2801910+300000</f>
        <v>4266194</v>
      </c>
      <c r="N289" s="322">
        <f>8504559+2083969+79965161+1350000+203024</f>
        <v>92106713</v>
      </c>
      <c r="O289" s="322">
        <f>6477946+394402+44492649+2263933+43999+371974</f>
        <v>54044903</v>
      </c>
      <c r="P289" s="322">
        <f>1858755+1084602+11789059+4613000+1417996+131997</f>
        <v>20895409</v>
      </c>
      <c r="Q289" s="322">
        <f>11072925+221852+1491439+107998+716993+380000</f>
        <v>13991207</v>
      </c>
      <c r="R289" s="322">
        <v>0</v>
      </c>
      <c r="S289" s="322">
        <v>0</v>
      </c>
      <c r="T289" s="322">
        <v>0</v>
      </c>
      <c r="U289" s="322">
        <f t="shared" si="97"/>
        <v>259711714</v>
      </c>
      <c r="V289" s="248">
        <f t="shared" si="92"/>
        <v>126330286</v>
      </c>
      <c r="W289" s="35">
        <v>0</v>
      </c>
      <c r="X289" s="247">
        <f t="shared" si="96"/>
        <v>67.27550732821818</v>
      </c>
    </row>
    <row r="290" spans="2:24" ht="12.75">
      <c r="B290" s="86" t="s">
        <v>308</v>
      </c>
      <c r="C290" s="87" t="s">
        <v>135</v>
      </c>
      <c r="D290" s="130"/>
      <c r="E290" s="131"/>
      <c r="F290" s="132"/>
      <c r="G290" s="90" t="s">
        <v>374</v>
      </c>
      <c r="H290" s="226">
        <f>SUM(H291:H297)</f>
        <v>198773000</v>
      </c>
      <c r="I290" s="226">
        <f>SUM(I291:I297)</f>
        <v>2239197</v>
      </c>
      <c r="J290" s="226">
        <f aca="true" t="shared" si="98" ref="J290:S290">SUM(J291:J297)</f>
        <v>3321351</v>
      </c>
      <c r="K290" s="226">
        <f t="shared" si="98"/>
        <v>6017707</v>
      </c>
      <c r="L290" s="226">
        <f t="shared" si="98"/>
        <v>9131570</v>
      </c>
      <c r="M290" s="226">
        <f t="shared" si="98"/>
        <v>13361853</v>
      </c>
      <c r="N290" s="226">
        <f>SUM(N291:N297)</f>
        <v>12143717</v>
      </c>
      <c r="O290" s="226">
        <f t="shared" si="98"/>
        <v>47799869</v>
      </c>
      <c r="P290" s="226">
        <f t="shared" si="98"/>
        <v>4213838</v>
      </c>
      <c r="Q290" s="226">
        <f t="shared" si="98"/>
        <v>7591642</v>
      </c>
      <c r="R290" s="226">
        <f t="shared" si="98"/>
        <v>0</v>
      </c>
      <c r="S290" s="226">
        <f t="shared" si="98"/>
        <v>0</v>
      </c>
      <c r="T290" s="226">
        <f>SUM(T291:T297)</f>
        <v>0</v>
      </c>
      <c r="U290" s="226">
        <f>SUM(U291:U297)</f>
        <v>105820744</v>
      </c>
      <c r="V290" s="243">
        <f t="shared" si="92"/>
        <v>92952256</v>
      </c>
      <c r="W290" s="241">
        <f>SUM(W291:W297)</f>
        <v>0</v>
      </c>
      <c r="X290" s="245">
        <f t="shared" si="96"/>
        <v>53.236980877684594</v>
      </c>
    </row>
    <row r="291" spans="2:24" ht="12.75" customHeight="1" hidden="1">
      <c r="B291" s="91" t="s">
        <v>308</v>
      </c>
      <c r="C291" s="92" t="s">
        <v>135</v>
      </c>
      <c r="D291" s="93" t="s">
        <v>14</v>
      </c>
      <c r="E291" s="96"/>
      <c r="F291" s="97"/>
      <c r="G291" s="95" t="s">
        <v>375</v>
      </c>
      <c r="H291" s="322">
        <v>0</v>
      </c>
      <c r="I291" s="322">
        <v>0</v>
      </c>
      <c r="J291" s="322">
        <v>0</v>
      </c>
      <c r="K291" s="322">
        <v>0</v>
      </c>
      <c r="L291" s="322">
        <v>0</v>
      </c>
      <c r="M291" s="322">
        <v>0</v>
      </c>
      <c r="N291" s="322">
        <v>0</v>
      </c>
      <c r="O291" s="322">
        <v>0</v>
      </c>
      <c r="P291" s="322">
        <v>0</v>
      </c>
      <c r="Q291" s="322">
        <v>0</v>
      </c>
      <c r="R291" s="322">
        <v>0</v>
      </c>
      <c r="S291" s="322">
        <v>0</v>
      </c>
      <c r="T291" s="322">
        <v>0</v>
      </c>
      <c r="U291" s="322">
        <f t="shared" si="97"/>
        <v>0</v>
      </c>
      <c r="V291" s="248">
        <f t="shared" si="92"/>
        <v>0</v>
      </c>
      <c r="W291" s="35"/>
      <c r="X291" s="247">
        <v>0</v>
      </c>
    </row>
    <row r="292" spans="2:24" ht="12.75">
      <c r="B292" s="91" t="s">
        <v>308</v>
      </c>
      <c r="C292" s="92" t="s">
        <v>135</v>
      </c>
      <c r="D292" s="93" t="s">
        <v>17</v>
      </c>
      <c r="E292" s="96"/>
      <c r="F292" s="97"/>
      <c r="G292" s="95" t="s">
        <v>376</v>
      </c>
      <c r="H292" s="322">
        <v>51241000</v>
      </c>
      <c r="I292" s="322">
        <v>1674471</v>
      </c>
      <c r="J292" s="322">
        <v>2534298</v>
      </c>
      <c r="K292" s="322">
        <v>4990500</v>
      </c>
      <c r="L292" s="322">
        <v>2132760</v>
      </c>
      <c r="M292" s="322">
        <f>2415466+2000000</f>
        <v>4415466</v>
      </c>
      <c r="N292" s="322">
        <v>4510044</v>
      </c>
      <c r="O292" s="322">
        <f>2000000+2440805</f>
        <v>4440805</v>
      </c>
      <c r="P292" s="322">
        <v>3060073</v>
      </c>
      <c r="Q292" s="322">
        <v>2439006</v>
      </c>
      <c r="R292" s="322">
        <v>0</v>
      </c>
      <c r="S292" s="322">
        <v>0</v>
      </c>
      <c r="T292" s="322">
        <v>0</v>
      </c>
      <c r="U292" s="322">
        <f t="shared" si="97"/>
        <v>30197423</v>
      </c>
      <c r="V292" s="248">
        <f t="shared" si="92"/>
        <v>21043577</v>
      </c>
      <c r="W292" s="35">
        <v>0</v>
      </c>
      <c r="X292" s="247">
        <f aca="true" t="shared" si="99" ref="X292:X298">SUM(U292/H292)*100</f>
        <v>58.932150036103906</v>
      </c>
    </row>
    <row r="293" spans="2:24" ht="12.75">
      <c r="B293" s="91" t="s">
        <v>308</v>
      </c>
      <c r="C293" s="92" t="s">
        <v>135</v>
      </c>
      <c r="D293" s="93" t="s">
        <v>22</v>
      </c>
      <c r="E293" s="96"/>
      <c r="F293" s="97"/>
      <c r="G293" s="95" t="s">
        <v>377</v>
      </c>
      <c r="H293" s="322">
        <v>7509000</v>
      </c>
      <c r="I293" s="322">
        <v>0</v>
      </c>
      <c r="J293" s="322">
        <v>0</v>
      </c>
      <c r="K293" s="322">
        <v>595000</v>
      </c>
      <c r="L293" s="322">
        <v>595000</v>
      </c>
      <c r="M293" s="322">
        <v>595000</v>
      </c>
      <c r="N293" s="322">
        <f>1072500+1999780+54000</f>
        <v>3126280</v>
      </c>
      <c r="O293" s="322">
        <v>595000</v>
      </c>
      <c r="P293" s="322">
        <v>166600</v>
      </c>
      <c r="Q293" s="322">
        <v>0</v>
      </c>
      <c r="R293" s="322">
        <v>0</v>
      </c>
      <c r="S293" s="322">
        <v>0</v>
      </c>
      <c r="T293" s="322">
        <v>0</v>
      </c>
      <c r="U293" s="322">
        <f t="shared" si="97"/>
        <v>5672880</v>
      </c>
      <c r="V293" s="248">
        <f t="shared" si="92"/>
        <v>1836120</v>
      </c>
      <c r="W293" s="35">
        <v>0</v>
      </c>
      <c r="X293" s="247">
        <f t="shared" si="99"/>
        <v>75.5477427087495</v>
      </c>
    </row>
    <row r="294" spans="2:24" ht="12.75">
      <c r="B294" s="91" t="s">
        <v>308</v>
      </c>
      <c r="C294" s="92" t="s">
        <v>135</v>
      </c>
      <c r="D294" s="93" t="s">
        <v>28</v>
      </c>
      <c r="E294" s="96"/>
      <c r="F294" s="97"/>
      <c r="G294" s="95" t="s">
        <v>378</v>
      </c>
      <c r="H294" s="322">
        <v>89089000</v>
      </c>
      <c r="I294" s="322">
        <v>430000</v>
      </c>
      <c r="J294" s="322">
        <v>0</v>
      </c>
      <c r="K294" s="322">
        <v>416500</v>
      </c>
      <c r="L294" s="322">
        <v>0</v>
      </c>
      <c r="M294" s="322">
        <v>2499952</v>
      </c>
      <c r="N294" s="322">
        <f>3593800+142800</f>
        <v>3736600</v>
      </c>
      <c r="O294" s="322">
        <f>34839154+3566192</f>
        <v>38405346</v>
      </c>
      <c r="P294" s="322">
        <v>366520</v>
      </c>
      <c r="Q294" s="322">
        <v>4236400</v>
      </c>
      <c r="R294" s="322">
        <v>0</v>
      </c>
      <c r="S294" s="322">
        <v>0</v>
      </c>
      <c r="T294" s="322">
        <v>0</v>
      </c>
      <c r="U294" s="322">
        <f t="shared" si="97"/>
        <v>50091318</v>
      </c>
      <c r="V294" s="248">
        <f t="shared" si="92"/>
        <v>38997682</v>
      </c>
      <c r="W294" s="35"/>
      <c r="X294" s="247">
        <f t="shared" si="99"/>
        <v>56.226153621659236</v>
      </c>
    </row>
    <row r="295" spans="2:24" ht="12.75">
      <c r="B295" s="91" t="s">
        <v>308</v>
      </c>
      <c r="C295" s="92" t="s">
        <v>135</v>
      </c>
      <c r="D295" s="93" t="s">
        <v>54</v>
      </c>
      <c r="E295" s="96"/>
      <c r="F295" s="97"/>
      <c r="G295" s="95" t="s">
        <v>379</v>
      </c>
      <c r="H295" s="322">
        <v>41228000</v>
      </c>
      <c r="I295" s="322">
        <v>0</v>
      </c>
      <c r="J295" s="322">
        <v>645376</v>
      </c>
      <c r="K295" s="322">
        <v>0</v>
      </c>
      <c r="L295" s="322">
        <v>0</v>
      </c>
      <c r="M295" s="322">
        <f>2658366+3177300</f>
        <v>5835666</v>
      </c>
      <c r="N295" s="322">
        <v>754939</v>
      </c>
      <c r="O295" s="322">
        <v>4342825</v>
      </c>
      <c r="P295" s="322">
        <v>604767</v>
      </c>
      <c r="Q295" s="322">
        <v>900254</v>
      </c>
      <c r="R295" s="322">
        <v>0</v>
      </c>
      <c r="S295" s="322">
        <v>0</v>
      </c>
      <c r="T295" s="322">
        <v>0</v>
      </c>
      <c r="U295" s="322">
        <f t="shared" si="97"/>
        <v>13083827</v>
      </c>
      <c r="V295" s="248">
        <f t="shared" si="92"/>
        <v>28144173</v>
      </c>
      <c r="W295" s="35">
        <v>0</v>
      </c>
      <c r="X295" s="247">
        <f t="shared" si="99"/>
        <v>31.73529397496847</v>
      </c>
    </row>
    <row r="296" spans="2:24" ht="12.75">
      <c r="B296" s="91" t="s">
        <v>308</v>
      </c>
      <c r="C296" s="92" t="s">
        <v>135</v>
      </c>
      <c r="D296" s="93" t="s">
        <v>57</v>
      </c>
      <c r="E296" s="96"/>
      <c r="F296" s="97"/>
      <c r="G296" s="95" t="s">
        <v>380</v>
      </c>
      <c r="H296" s="322">
        <v>3300000</v>
      </c>
      <c r="I296" s="322">
        <v>0</v>
      </c>
      <c r="J296" s="322">
        <v>0</v>
      </c>
      <c r="K296" s="322">
        <v>0</v>
      </c>
      <c r="L296" s="322">
        <v>3127482</v>
      </c>
      <c r="M296" s="322">
        <v>0</v>
      </c>
      <c r="N296" s="322">
        <v>0</v>
      </c>
      <c r="O296" s="322">
        <v>0</v>
      </c>
      <c r="P296" s="322">
        <v>0</v>
      </c>
      <c r="Q296" s="322">
        <v>0</v>
      </c>
      <c r="R296" s="322">
        <v>0</v>
      </c>
      <c r="S296" s="322">
        <v>0</v>
      </c>
      <c r="T296" s="322">
        <v>0</v>
      </c>
      <c r="U296" s="322">
        <f t="shared" si="97"/>
        <v>3127482</v>
      </c>
      <c r="V296" s="248">
        <f t="shared" si="92"/>
        <v>172518</v>
      </c>
      <c r="W296" s="35"/>
      <c r="X296" s="247">
        <f t="shared" si="99"/>
        <v>94.77218181818182</v>
      </c>
    </row>
    <row r="297" spans="2:24" ht="12.75">
      <c r="B297" s="91" t="s">
        <v>308</v>
      </c>
      <c r="C297" s="92" t="s">
        <v>135</v>
      </c>
      <c r="D297" s="117">
        <v>999</v>
      </c>
      <c r="E297" s="129"/>
      <c r="F297" s="118"/>
      <c r="G297" s="95" t="s">
        <v>31</v>
      </c>
      <c r="H297" s="322">
        <v>6406000</v>
      </c>
      <c r="I297" s="322">
        <f>119000+15726</f>
        <v>134726</v>
      </c>
      <c r="J297" s="322">
        <f>125945+15732</f>
        <v>141677</v>
      </c>
      <c r="K297" s="322">
        <v>15707</v>
      </c>
      <c r="L297" s="322">
        <f>1297100+15728+1963500</f>
        <v>3276328</v>
      </c>
      <c r="M297" s="322">
        <v>15769</v>
      </c>
      <c r="N297" s="322">
        <v>15854</v>
      </c>
      <c r="O297" s="322">
        <v>15893</v>
      </c>
      <c r="P297" s="322">
        <v>15878</v>
      </c>
      <c r="Q297" s="322">
        <v>15982</v>
      </c>
      <c r="R297" s="322">
        <v>0</v>
      </c>
      <c r="S297" s="322">
        <v>0</v>
      </c>
      <c r="T297" s="322">
        <v>0</v>
      </c>
      <c r="U297" s="322">
        <f t="shared" si="97"/>
        <v>3647814</v>
      </c>
      <c r="V297" s="248">
        <f t="shared" si="92"/>
        <v>2758186</v>
      </c>
      <c r="W297" s="35"/>
      <c r="X297" s="247">
        <f t="shared" si="99"/>
        <v>56.94370902279113</v>
      </c>
    </row>
    <row r="298" spans="2:24" ht="12.75">
      <c r="B298" s="86" t="s">
        <v>308</v>
      </c>
      <c r="C298" s="133">
        <v>10</v>
      </c>
      <c r="D298" s="134"/>
      <c r="E298" s="135"/>
      <c r="F298" s="136"/>
      <c r="G298" s="90" t="s">
        <v>381</v>
      </c>
      <c r="H298" s="226">
        <f>SUM(H299:H303)</f>
        <v>28900000</v>
      </c>
      <c r="I298" s="226">
        <f>SUM(I299:I303)</f>
        <v>2796688</v>
      </c>
      <c r="J298" s="226">
        <f aca="true" t="shared" si="100" ref="J298:S298">SUM(J299:J303)</f>
        <v>0</v>
      </c>
      <c r="K298" s="226">
        <f t="shared" si="100"/>
        <v>0</v>
      </c>
      <c r="L298" s="226">
        <f t="shared" si="100"/>
        <v>379300</v>
      </c>
      <c r="M298" s="226">
        <f t="shared" si="100"/>
        <v>0</v>
      </c>
      <c r="N298" s="226">
        <f>SUM(N299:N303)</f>
        <v>0</v>
      </c>
      <c r="O298" s="226">
        <f t="shared" si="100"/>
        <v>0</v>
      </c>
      <c r="P298" s="226">
        <f t="shared" si="100"/>
        <v>0</v>
      </c>
      <c r="Q298" s="226">
        <f t="shared" si="100"/>
        <v>10443660</v>
      </c>
      <c r="R298" s="226">
        <f t="shared" si="100"/>
        <v>0</v>
      </c>
      <c r="S298" s="226">
        <f t="shared" si="100"/>
        <v>0</v>
      </c>
      <c r="T298" s="226">
        <f>SUM(T299:T303)</f>
        <v>0</v>
      </c>
      <c r="U298" s="226">
        <f>SUM(U299:U303)</f>
        <v>13619648</v>
      </c>
      <c r="V298" s="243">
        <f t="shared" si="92"/>
        <v>15280352</v>
      </c>
      <c r="W298" s="241">
        <f>SUM(W299:W303)</f>
        <v>0</v>
      </c>
      <c r="X298" s="245">
        <f t="shared" si="99"/>
        <v>47.12680968858132</v>
      </c>
    </row>
    <row r="299" spans="2:24" ht="12.75">
      <c r="B299" s="91" t="s">
        <v>308</v>
      </c>
      <c r="C299" s="92" t="s">
        <v>112</v>
      </c>
      <c r="D299" s="93" t="s">
        <v>14</v>
      </c>
      <c r="E299" s="129"/>
      <c r="F299" s="118"/>
      <c r="G299" s="95" t="s">
        <v>382</v>
      </c>
      <c r="H299" s="322">
        <v>0</v>
      </c>
      <c r="I299" s="322">
        <v>0</v>
      </c>
      <c r="J299" s="322">
        <v>0</v>
      </c>
      <c r="K299" s="322">
        <v>0</v>
      </c>
      <c r="L299" s="322">
        <v>0</v>
      </c>
      <c r="M299" s="322">
        <v>0</v>
      </c>
      <c r="N299" s="322">
        <v>0</v>
      </c>
      <c r="O299" s="322">
        <v>0</v>
      </c>
      <c r="P299" s="322">
        <v>0</v>
      </c>
      <c r="Q299" s="322">
        <v>0</v>
      </c>
      <c r="R299" s="322">
        <v>0</v>
      </c>
      <c r="S299" s="322">
        <v>0</v>
      </c>
      <c r="T299" s="322">
        <v>0</v>
      </c>
      <c r="U299" s="322">
        <f t="shared" si="97"/>
        <v>0</v>
      </c>
      <c r="V299" s="248">
        <f aca="true" t="shared" si="101" ref="V299:V331">H299-U299</f>
        <v>0</v>
      </c>
      <c r="W299" s="35"/>
      <c r="X299" s="247">
        <v>0</v>
      </c>
    </row>
    <row r="300" spans="2:24" ht="12.75">
      <c r="B300" s="91" t="s">
        <v>308</v>
      </c>
      <c r="C300" s="92" t="s">
        <v>112</v>
      </c>
      <c r="D300" s="93" t="s">
        <v>17</v>
      </c>
      <c r="E300" s="129"/>
      <c r="F300" s="118"/>
      <c r="G300" s="95" t="s">
        <v>383</v>
      </c>
      <c r="H300" s="322">
        <v>25400000</v>
      </c>
      <c r="I300" s="322">
        <v>2796688</v>
      </c>
      <c r="J300" s="322">
        <v>0</v>
      </c>
      <c r="K300" s="322">
        <v>0</v>
      </c>
      <c r="L300" s="322">
        <v>379300</v>
      </c>
      <c r="M300" s="322">
        <v>0</v>
      </c>
      <c r="N300" s="322">
        <v>0</v>
      </c>
      <c r="O300" s="322">
        <v>0</v>
      </c>
      <c r="P300" s="322">
        <v>0</v>
      </c>
      <c r="Q300" s="322">
        <v>10443660</v>
      </c>
      <c r="R300" s="322">
        <v>0</v>
      </c>
      <c r="S300" s="322">
        <v>0</v>
      </c>
      <c r="T300" s="322">
        <v>0</v>
      </c>
      <c r="U300" s="322">
        <f t="shared" si="97"/>
        <v>13619648</v>
      </c>
      <c r="V300" s="248">
        <f t="shared" si="101"/>
        <v>11780352</v>
      </c>
      <c r="W300" s="35"/>
      <c r="X300" s="247">
        <f>SUM(U300/H300)*100</f>
        <v>53.620661417322836</v>
      </c>
    </row>
    <row r="301" spans="2:24" ht="12.75" customHeight="1" hidden="1">
      <c r="B301" s="91" t="s">
        <v>308</v>
      </c>
      <c r="C301" s="92" t="s">
        <v>112</v>
      </c>
      <c r="D301" s="93" t="s">
        <v>22</v>
      </c>
      <c r="E301" s="129"/>
      <c r="F301" s="118"/>
      <c r="G301" s="95" t="s">
        <v>384</v>
      </c>
      <c r="H301" s="322">
        <v>0</v>
      </c>
      <c r="I301" s="322">
        <v>0</v>
      </c>
      <c r="J301" s="322">
        <v>0</v>
      </c>
      <c r="K301" s="322">
        <v>0</v>
      </c>
      <c r="L301" s="322">
        <v>0</v>
      </c>
      <c r="M301" s="322">
        <v>0</v>
      </c>
      <c r="N301" s="322">
        <v>0</v>
      </c>
      <c r="O301" s="322">
        <v>0</v>
      </c>
      <c r="P301" s="322">
        <v>0</v>
      </c>
      <c r="Q301" s="322">
        <v>0</v>
      </c>
      <c r="R301" s="322">
        <v>0</v>
      </c>
      <c r="S301" s="322">
        <v>0</v>
      </c>
      <c r="T301" s="322">
        <v>0</v>
      </c>
      <c r="U301" s="322">
        <f t="shared" si="97"/>
        <v>0</v>
      </c>
      <c r="V301" s="248">
        <f t="shared" si="101"/>
        <v>0</v>
      </c>
      <c r="W301" s="35"/>
      <c r="X301" s="247">
        <v>0</v>
      </c>
    </row>
    <row r="302" spans="2:24" ht="12.75" customHeight="1" hidden="1">
      <c r="B302" s="91" t="s">
        <v>308</v>
      </c>
      <c r="C302" s="92" t="s">
        <v>112</v>
      </c>
      <c r="D302" s="93" t="s">
        <v>28</v>
      </c>
      <c r="E302" s="129"/>
      <c r="F302" s="118"/>
      <c r="G302" s="95" t="s">
        <v>385</v>
      </c>
      <c r="H302" s="322">
        <v>0</v>
      </c>
      <c r="I302" s="322">
        <v>0</v>
      </c>
      <c r="J302" s="322">
        <v>0</v>
      </c>
      <c r="K302" s="322">
        <v>0</v>
      </c>
      <c r="L302" s="322">
        <v>0</v>
      </c>
      <c r="M302" s="322">
        <v>0</v>
      </c>
      <c r="N302" s="322">
        <v>0</v>
      </c>
      <c r="O302" s="322">
        <v>0</v>
      </c>
      <c r="P302" s="322">
        <v>0</v>
      </c>
      <c r="Q302" s="322">
        <v>0</v>
      </c>
      <c r="R302" s="322">
        <v>0</v>
      </c>
      <c r="S302" s="322">
        <v>0</v>
      </c>
      <c r="T302" s="322">
        <v>0</v>
      </c>
      <c r="U302" s="322">
        <f t="shared" si="97"/>
        <v>0</v>
      </c>
      <c r="V302" s="248">
        <f t="shared" si="101"/>
        <v>0</v>
      </c>
      <c r="W302" s="35"/>
      <c r="X302" s="247">
        <v>0</v>
      </c>
    </row>
    <row r="303" spans="2:24" ht="12.75">
      <c r="B303" s="91" t="s">
        <v>308</v>
      </c>
      <c r="C303" s="92" t="s">
        <v>112</v>
      </c>
      <c r="D303" s="117">
        <v>999</v>
      </c>
      <c r="E303" s="129"/>
      <c r="F303" s="118"/>
      <c r="G303" s="95" t="s">
        <v>31</v>
      </c>
      <c r="H303" s="322">
        <v>3500000</v>
      </c>
      <c r="I303" s="322">
        <v>0</v>
      </c>
      <c r="J303" s="322">
        <v>0</v>
      </c>
      <c r="K303" s="322">
        <v>0</v>
      </c>
      <c r="L303" s="322">
        <v>0</v>
      </c>
      <c r="M303" s="322">
        <v>0</v>
      </c>
      <c r="N303" s="322">
        <v>0</v>
      </c>
      <c r="O303" s="322">
        <v>0</v>
      </c>
      <c r="P303" s="322">
        <v>0</v>
      </c>
      <c r="Q303" s="322">
        <v>0</v>
      </c>
      <c r="R303" s="322">
        <v>0</v>
      </c>
      <c r="S303" s="322">
        <v>0</v>
      </c>
      <c r="T303" s="322">
        <v>0</v>
      </c>
      <c r="U303" s="322">
        <f t="shared" si="97"/>
        <v>0</v>
      </c>
      <c r="V303" s="248">
        <f t="shared" si="101"/>
        <v>3500000</v>
      </c>
      <c r="W303" s="35"/>
      <c r="X303" s="247">
        <v>0</v>
      </c>
    </row>
    <row r="304" spans="2:24" ht="12.75">
      <c r="B304" s="86" t="s">
        <v>308</v>
      </c>
      <c r="C304" s="133">
        <v>11</v>
      </c>
      <c r="D304" s="134"/>
      <c r="E304" s="135"/>
      <c r="F304" s="136"/>
      <c r="G304" s="90" t="s">
        <v>386</v>
      </c>
      <c r="H304" s="226">
        <f>SUM(H305:H308)</f>
        <v>145290000</v>
      </c>
      <c r="I304" s="226">
        <f>SUM(I305:I308)</f>
        <v>9074406</v>
      </c>
      <c r="J304" s="226">
        <f aca="true" t="shared" si="102" ref="J304:S304">SUM(J305:J308)</f>
        <v>3195564</v>
      </c>
      <c r="K304" s="226">
        <f t="shared" si="102"/>
        <v>8798045</v>
      </c>
      <c r="L304" s="226">
        <f t="shared" si="102"/>
        <v>9030928</v>
      </c>
      <c r="M304" s="226">
        <f t="shared" si="102"/>
        <v>4456779</v>
      </c>
      <c r="N304" s="226">
        <f>SUM(N305:N308)</f>
        <v>14251660</v>
      </c>
      <c r="O304" s="226">
        <f t="shared" si="102"/>
        <v>16217679</v>
      </c>
      <c r="P304" s="226">
        <f t="shared" si="102"/>
        <v>4360334</v>
      </c>
      <c r="Q304" s="226">
        <f t="shared" si="102"/>
        <v>19472468</v>
      </c>
      <c r="R304" s="226">
        <f t="shared" si="102"/>
        <v>0</v>
      </c>
      <c r="S304" s="226">
        <f t="shared" si="102"/>
        <v>0</v>
      </c>
      <c r="T304" s="226">
        <f>SUM(T305:T308)</f>
        <v>0</v>
      </c>
      <c r="U304" s="226">
        <f>SUM(U305:U308)</f>
        <v>88857863</v>
      </c>
      <c r="V304" s="243">
        <f t="shared" si="101"/>
        <v>56432137</v>
      </c>
      <c r="W304" s="241">
        <f>SUM(W305:W308)</f>
        <v>0</v>
      </c>
      <c r="X304" s="247">
        <f>SUM(U304/H304)*100</f>
        <v>61.158966893798606</v>
      </c>
    </row>
    <row r="305" spans="2:24" ht="12.75">
      <c r="B305" s="91" t="s">
        <v>308</v>
      </c>
      <c r="C305" s="92" t="s">
        <v>122</v>
      </c>
      <c r="D305" s="93" t="s">
        <v>14</v>
      </c>
      <c r="E305" s="129"/>
      <c r="F305" s="118"/>
      <c r="G305" s="95" t="s">
        <v>387</v>
      </c>
      <c r="H305" s="322">
        <v>8900000</v>
      </c>
      <c r="I305" s="322">
        <v>0</v>
      </c>
      <c r="J305" s="322">
        <v>0</v>
      </c>
      <c r="K305" s="322">
        <v>0</v>
      </c>
      <c r="L305" s="322">
        <v>0</v>
      </c>
      <c r="M305" s="322">
        <v>0</v>
      </c>
      <c r="N305" s="322">
        <v>0</v>
      </c>
      <c r="O305" s="322">
        <v>0</v>
      </c>
      <c r="P305" s="322">
        <v>0</v>
      </c>
      <c r="Q305" s="322">
        <v>0</v>
      </c>
      <c r="R305" s="322">
        <v>0</v>
      </c>
      <c r="S305" s="322">
        <v>0</v>
      </c>
      <c r="T305" s="322">
        <v>0</v>
      </c>
      <c r="U305" s="322">
        <f t="shared" si="97"/>
        <v>0</v>
      </c>
      <c r="V305" s="248">
        <f t="shared" si="101"/>
        <v>8900000</v>
      </c>
      <c r="W305" s="35"/>
      <c r="X305" s="247">
        <f>SUM(U305/H305)*100</f>
        <v>0</v>
      </c>
    </row>
    <row r="306" spans="2:24" ht="12.75">
      <c r="B306" s="91" t="s">
        <v>308</v>
      </c>
      <c r="C306" s="92" t="s">
        <v>122</v>
      </c>
      <c r="D306" s="93" t="s">
        <v>17</v>
      </c>
      <c r="E306" s="129"/>
      <c r="F306" s="118"/>
      <c r="G306" s="95" t="s">
        <v>388</v>
      </c>
      <c r="H306" s="322">
        <v>25800000</v>
      </c>
      <c r="I306" s="322">
        <v>80000</v>
      </c>
      <c r="J306" s="322">
        <v>0</v>
      </c>
      <c r="K306" s="322">
        <v>500000</v>
      </c>
      <c r="L306" s="322">
        <v>668000</v>
      </c>
      <c r="M306" s="322">
        <v>4256000</v>
      </c>
      <c r="N306" s="322">
        <v>1030000</v>
      </c>
      <c r="O306" s="322">
        <v>826300</v>
      </c>
      <c r="P306" s="322">
        <v>360000</v>
      </c>
      <c r="Q306" s="322">
        <f>6033000+4800000</f>
        <v>10833000</v>
      </c>
      <c r="R306" s="322">
        <v>0</v>
      </c>
      <c r="S306" s="322">
        <v>0</v>
      </c>
      <c r="T306" s="322">
        <v>0</v>
      </c>
      <c r="U306" s="322">
        <f t="shared" si="97"/>
        <v>18553300</v>
      </c>
      <c r="V306" s="248">
        <f t="shared" si="101"/>
        <v>7246700</v>
      </c>
      <c r="W306" s="35">
        <v>0</v>
      </c>
      <c r="X306" s="247">
        <f>SUM(U306/H306)*100</f>
        <v>71.91201550387596</v>
      </c>
    </row>
    <row r="307" spans="2:24" ht="12.75">
      <c r="B307" s="91" t="s">
        <v>308</v>
      </c>
      <c r="C307" s="92" t="s">
        <v>122</v>
      </c>
      <c r="D307" s="93" t="s">
        <v>22</v>
      </c>
      <c r="E307" s="129"/>
      <c r="F307" s="118"/>
      <c r="G307" s="95" t="s">
        <v>389</v>
      </c>
      <c r="H307" s="322">
        <v>110590000</v>
      </c>
      <c r="I307" s="322">
        <v>8994406</v>
      </c>
      <c r="J307" s="322">
        <v>3195564</v>
      </c>
      <c r="K307" s="322">
        <v>8298045</v>
      </c>
      <c r="L307" s="322">
        <v>8362928</v>
      </c>
      <c r="M307" s="322">
        <v>200779</v>
      </c>
      <c r="N307" s="322">
        <v>13221660</v>
      </c>
      <c r="O307" s="322">
        <v>15391379</v>
      </c>
      <c r="P307" s="322">
        <v>4000334</v>
      </c>
      <c r="Q307" s="322">
        <v>8639468</v>
      </c>
      <c r="R307" s="322">
        <v>0</v>
      </c>
      <c r="S307" s="322">
        <v>0</v>
      </c>
      <c r="T307" s="322">
        <v>0</v>
      </c>
      <c r="U307" s="322">
        <f t="shared" si="97"/>
        <v>70304563</v>
      </c>
      <c r="V307" s="248">
        <f t="shared" si="101"/>
        <v>40285437</v>
      </c>
      <c r="W307" s="35">
        <v>0</v>
      </c>
      <c r="X307" s="247">
        <f>SUM(U307/H307)*100</f>
        <v>63.57226060222443</v>
      </c>
    </row>
    <row r="308" spans="2:24" ht="12.75" customHeight="1" hidden="1">
      <c r="B308" s="91" t="s">
        <v>308</v>
      </c>
      <c r="C308" s="92" t="s">
        <v>122</v>
      </c>
      <c r="D308" s="117">
        <v>999</v>
      </c>
      <c r="E308" s="129"/>
      <c r="F308" s="118"/>
      <c r="G308" s="95" t="s">
        <v>31</v>
      </c>
      <c r="H308" s="322">
        <v>0</v>
      </c>
      <c r="I308" s="322">
        <v>0</v>
      </c>
      <c r="J308" s="322">
        <v>0</v>
      </c>
      <c r="K308" s="322">
        <v>0</v>
      </c>
      <c r="L308" s="322">
        <v>0</v>
      </c>
      <c r="M308" s="322">
        <v>0</v>
      </c>
      <c r="N308" s="322">
        <v>0</v>
      </c>
      <c r="O308" s="322">
        <v>0</v>
      </c>
      <c r="P308" s="322">
        <v>0</v>
      </c>
      <c r="Q308" s="322">
        <v>0</v>
      </c>
      <c r="R308" s="322">
        <v>0</v>
      </c>
      <c r="S308" s="322">
        <v>0</v>
      </c>
      <c r="T308" s="322">
        <v>0</v>
      </c>
      <c r="U308" s="322">
        <f t="shared" si="97"/>
        <v>0</v>
      </c>
      <c r="V308" s="248">
        <f t="shared" si="101"/>
        <v>0</v>
      </c>
      <c r="W308" s="35"/>
      <c r="X308" s="247">
        <v>0</v>
      </c>
    </row>
    <row r="309" spans="2:24" ht="24">
      <c r="B309" s="137" t="s">
        <v>308</v>
      </c>
      <c r="C309" s="138">
        <v>12</v>
      </c>
      <c r="D309" s="134"/>
      <c r="E309" s="135"/>
      <c r="F309" s="136"/>
      <c r="G309" s="139" t="s">
        <v>390</v>
      </c>
      <c r="H309" s="226">
        <f>SUM(H310:H315)</f>
        <v>51631000</v>
      </c>
      <c r="I309" s="226">
        <f>SUM(I310:I315)</f>
        <v>2978096</v>
      </c>
      <c r="J309" s="226">
        <f aca="true" t="shared" si="103" ref="J309:S309">SUM(J310:J315)</f>
        <v>6942205</v>
      </c>
      <c r="K309" s="226">
        <f t="shared" si="103"/>
        <v>1968405</v>
      </c>
      <c r="L309" s="226">
        <f t="shared" si="103"/>
        <v>1769389</v>
      </c>
      <c r="M309" s="226">
        <f t="shared" si="103"/>
        <v>4059664</v>
      </c>
      <c r="N309" s="226">
        <f>SUM(N310:N315)</f>
        <v>5141134</v>
      </c>
      <c r="O309" s="226">
        <f t="shared" si="103"/>
        <v>10636135</v>
      </c>
      <c r="P309" s="226">
        <f t="shared" si="103"/>
        <v>5346725</v>
      </c>
      <c r="Q309" s="226">
        <f t="shared" si="103"/>
        <v>1847316</v>
      </c>
      <c r="R309" s="226">
        <f t="shared" si="103"/>
        <v>0</v>
      </c>
      <c r="S309" s="226">
        <f t="shared" si="103"/>
        <v>0</v>
      </c>
      <c r="T309" s="226">
        <f>SUM(T310:T315)</f>
        <v>0</v>
      </c>
      <c r="U309" s="226">
        <f>SUM(U310:U315)</f>
        <v>40689069</v>
      </c>
      <c r="V309" s="243">
        <f t="shared" si="101"/>
        <v>10941931</v>
      </c>
      <c r="W309" s="241">
        <f>SUM(W310:W315)</f>
        <v>52254</v>
      </c>
      <c r="X309" s="245">
        <f>SUM(U309/H309)*100</f>
        <v>78.80743932908524</v>
      </c>
    </row>
    <row r="310" spans="2:24" ht="12.75">
      <c r="B310" s="91" t="s">
        <v>308</v>
      </c>
      <c r="C310" s="116">
        <v>12</v>
      </c>
      <c r="D310" s="93" t="s">
        <v>14</v>
      </c>
      <c r="E310" s="129"/>
      <c r="F310" s="118"/>
      <c r="G310" s="95" t="s">
        <v>391</v>
      </c>
      <c r="H310" s="322">
        <v>0</v>
      </c>
      <c r="I310" s="322">
        <v>0</v>
      </c>
      <c r="J310" s="322">
        <v>0</v>
      </c>
      <c r="K310" s="322">
        <v>0</v>
      </c>
      <c r="L310" s="322">
        <v>0</v>
      </c>
      <c r="M310" s="322">
        <v>0</v>
      </c>
      <c r="N310" s="322">
        <v>0</v>
      </c>
      <c r="O310" s="322">
        <v>0</v>
      </c>
      <c r="P310" s="322">
        <v>0</v>
      </c>
      <c r="Q310" s="322">
        <v>0</v>
      </c>
      <c r="R310" s="322">
        <v>0</v>
      </c>
      <c r="S310" s="322">
        <v>0</v>
      </c>
      <c r="T310" s="322">
        <v>0</v>
      </c>
      <c r="U310" s="322">
        <f t="shared" si="97"/>
        <v>0</v>
      </c>
      <c r="V310" s="248">
        <f t="shared" si="101"/>
        <v>0</v>
      </c>
      <c r="W310" s="35"/>
      <c r="X310" s="247">
        <v>0</v>
      </c>
    </row>
    <row r="311" spans="2:24" ht="12.75">
      <c r="B311" s="91" t="s">
        <v>308</v>
      </c>
      <c r="C311" s="116">
        <v>12</v>
      </c>
      <c r="D311" s="93" t="s">
        <v>17</v>
      </c>
      <c r="E311" s="129"/>
      <c r="F311" s="118"/>
      <c r="G311" s="95" t="s">
        <v>392</v>
      </c>
      <c r="H311" s="322">
        <v>21401000</v>
      </c>
      <c r="I311" s="322">
        <v>1957445</v>
      </c>
      <c r="J311" s="322">
        <v>936755</v>
      </c>
      <c r="K311" s="322">
        <v>1691095</v>
      </c>
      <c r="L311" s="322">
        <f>1028070+151659</f>
        <v>1179729</v>
      </c>
      <c r="M311" s="322">
        <v>2144194</v>
      </c>
      <c r="N311" s="322">
        <v>2241581</v>
      </c>
      <c r="O311" s="322">
        <v>1825834</v>
      </c>
      <c r="P311" s="322">
        <f>2705787+99900</f>
        <v>2805687</v>
      </c>
      <c r="Q311" s="322">
        <v>980270</v>
      </c>
      <c r="R311" s="322">
        <v>0</v>
      </c>
      <c r="S311" s="322">
        <v>0</v>
      </c>
      <c r="T311" s="322">
        <v>0</v>
      </c>
      <c r="U311" s="322">
        <f t="shared" si="97"/>
        <v>15762590</v>
      </c>
      <c r="V311" s="248">
        <f t="shared" si="101"/>
        <v>5638410</v>
      </c>
      <c r="W311" s="35">
        <v>52254</v>
      </c>
      <c r="X311" s="247">
        <f>SUM(U311/H311)*100</f>
        <v>73.65352086351105</v>
      </c>
    </row>
    <row r="312" spans="2:24" ht="12.75">
      <c r="B312" s="91" t="s">
        <v>308</v>
      </c>
      <c r="C312" s="116">
        <v>12</v>
      </c>
      <c r="D312" s="93" t="s">
        <v>22</v>
      </c>
      <c r="E312" s="129"/>
      <c r="F312" s="118"/>
      <c r="G312" s="95" t="s">
        <v>393</v>
      </c>
      <c r="H312" s="322">
        <v>15639000</v>
      </c>
      <c r="I312" s="322">
        <f>850651+170000</f>
        <v>1020651</v>
      </c>
      <c r="J312" s="322">
        <v>522060</v>
      </c>
      <c r="K312" s="322">
        <v>-30360</v>
      </c>
      <c r="L312" s="322">
        <v>478919</v>
      </c>
      <c r="M312" s="322">
        <v>175510</v>
      </c>
      <c r="N312" s="322">
        <v>79180</v>
      </c>
      <c r="O312" s="322">
        <f>2656675+5154700</f>
        <v>7811375</v>
      </c>
      <c r="P312" s="322">
        <f>892422+223720</f>
        <v>1116142</v>
      </c>
      <c r="Q312" s="322">
        <v>181900</v>
      </c>
      <c r="R312" s="322">
        <v>0</v>
      </c>
      <c r="S312" s="322">
        <v>0</v>
      </c>
      <c r="T312" s="322">
        <v>0</v>
      </c>
      <c r="U312" s="322">
        <f t="shared" si="97"/>
        <v>11355377</v>
      </c>
      <c r="V312" s="248">
        <f t="shared" si="101"/>
        <v>4283623</v>
      </c>
      <c r="W312" s="35">
        <v>0</v>
      </c>
      <c r="X312" s="247">
        <f>SUM(U312/H312)*100</f>
        <v>72.60935481808299</v>
      </c>
    </row>
    <row r="313" spans="2:24" ht="12.75">
      <c r="B313" s="91" t="s">
        <v>308</v>
      </c>
      <c r="C313" s="116">
        <v>12</v>
      </c>
      <c r="D313" s="93" t="s">
        <v>28</v>
      </c>
      <c r="E313" s="129"/>
      <c r="F313" s="118"/>
      <c r="G313" s="95" t="s">
        <v>394</v>
      </c>
      <c r="H313" s="322">
        <v>3499000</v>
      </c>
      <c r="I313" s="322">
        <v>0</v>
      </c>
      <c r="J313" s="322">
        <v>0</v>
      </c>
      <c r="K313" s="322">
        <v>0</v>
      </c>
      <c r="L313" s="322">
        <v>0</v>
      </c>
      <c r="M313" s="322">
        <v>0</v>
      </c>
      <c r="N313" s="322">
        <v>0</v>
      </c>
      <c r="O313" s="322">
        <v>876960</v>
      </c>
      <c r="P313" s="322">
        <v>881340</v>
      </c>
      <c r="Q313" s="322">
        <v>0</v>
      </c>
      <c r="R313" s="322">
        <v>0</v>
      </c>
      <c r="S313" s="322">
        <v>0</v>
      </c>
      <c r="T313" s="322">
        <v>0</v>
      </c>
      <c r="U313" s="322">
        <f t="shared" si="97"/>
        <v>1758300</v>
      </c>
      <c r="V313" s="248">
        <f t="shared" si="101"/>
        <v>1740700</v>
      </c>
      <c r="W313" s="35"/>
      <c r="X313" s="247">
        <f>SUM(U313/H313)*100</f>
        <v>50.25150042869391</v>
      </c>
    </row>
    <row r="314" spans="2:24" ht="12.75">
      <c r="B314" s="91" t="s">
        <v>308</v>
      </c>
      <c r="C314" s="116">
        <v>12</v>
      </c>
      <c r="D314" s="93" t="s">
        <v>54</v>
      </c>
      <c r="E314" s="129"/>
      <c r="F314" s="118"/>
      <c r="G314" s="95" t="s">
        <v>395</v>
      </c>
      <c r="H314" s="322">
        <v>11092000</v>
      </c>
      <c r="I314" s="322">
        <v>0</v>
      </c>
      <c r="J314" s="322">
        <f>43222+5440168</f>
        <v>5483390</v>
      </c>
      <c r="K314" s="322">
        <f>196333+111337</f>
        <v>307670</v>
      </c>
      <c r="L314" s="322">
        <f>86666+24075</f>
        <v>110741</v>
      </c>
      <c r="M314" s="322">
        <v>1739960</v>
      </c>
      <c r="N314" s="322">
        <f>470100+2350273</f>
        <v>2820373</v>
      </c>
      <c r="O314" s="322">
        <v>121966</v>
      </c>
      <c r="P314" s="322">
        <f>413334+130222</f>
        <v>543556</v>
      </c>
      <c r="Q314" s="322">
        <v>685146</v>
      </c>
      <c r="R314" s="322">
        <v>0</v>
      </c>
      <c r="S314" s="322">
        <v>0</v>
      </c>
      <c r="T314" s="322">
        <v>0</v>
      </c>
      <c r="U314" s="322">
        <f t="shared" si="97"/>
        <v>11812802</v>
      </c>
      <c r="V314" s="248">
        <f t="shared" si="101"/>
        <v>-720802</v>
      </c>
      <c r="W314" s="35">
        <v>0</v>
      </c>
      <c r="X314" s="247">
        <f>SUM(U314/H314)*100</f>
        <v>106.49839523981248</v>
      </c>
    </row>
    <row r="315" spans="2:24" ht="12.75">
      <c r="B315" s="91" t="s">
        <v>308</v>
      </c>
      <c r="C315" s="116">
        <v>12</v>
      </c>
      <c r="D315" s="117">
        <v>999</v>
      </c>
      <c r="E315" s="129"/>
      <c r="F315" s="118"/>
      <c r="G315" s="95" t="s">
        <v>31</v>
      </c>
      <c r="H315" s="322">
        <v>0</v>
      </c>
      <c r="I315" s="322">
        <v>0</v>
      </c>
      <c r="J315" s="322">
        <v>0</v>
      </c>
      <c r="K315" s="322">
        <v>0</v>
      </c>
      <c r="L315" s="322">
        <v>0</v>
      </c>
      <c r="M315" s="322">
        <v>0</v>
      </c>
      <c r="N315" s="322">
        <v>0</v>
      </c>
      <c r="O315" s="322">
        <v>0</v>
      </c>
      <c r="P315" s="322">
        <v>0</v>
      </c>
      <c r="Q315" s="322">
        <v>0</v>
      </c>
      <c r="R315" s="322">
        <v>0</v>
      </c>
      <c r="S315" s="322">
        <v>0</v>
      </c>
      <c r="T315" s="322">
        <v>0</v>
      </c>
      <c r="U315" s="322">
        <f t="shared" si="97"/>
        <v>0</v>
      </c>
      <c r="V315" s="248">
        <f t="shared" si="101"/>
        <v>0</v>
      </c>
      <c r="W315" s="35"/>
      <c r="X315" s="247" t="e">
        <f>SUM(U315/H315)*100</f>
        <v>#DIV/0!</v>
      </c>
    </row>
    <row r="316" spans="2:24" ht="12.75">
      <c r="B316" s="140"/>
      <c r="C316" s="141"/>
      <c r="D316" s="142"/>
      <c r="E316" s="129"/>
      <c r="F316" s="118"/>
      <c r="G316" s="98"/>
      <c r="H316" s="225"/>
      <c r="I316" s="225"/>
      <c r="J316" s="225"/>
      <c r="K316" s="225"/>
      <c r="L316" s="225"/>
      <c r="M316" s="225"/>
      <c r="N316" s="225"/>
      <c r="O316" s="225"/>
      <c r="P316" s="225"/>
      <c r="Q316" s="225"/>
      <c r="R316" s="225"/>
      <c r="S316" s="225"/>
      <c r="T316" s="34"/>
      <c r="U316" s="322">
        <f t="shared" si="97"/>
        <v>0</v>
      </c>
      <c r="V316" s="246">
        <f t="shared" si="101"/>
        <v>0</v>
      </c>
      <c r="W316" s="37"/>
      <c r="X316" s="247"/>
    </row>
    <row r="317" spans="2:24" ht="12.75">
      <c r="B317" s="81" t="s">
        <v>396</v>
      </c>
      <c r="C317" s="143"/>
      <c r="D317" s="144"/>
      <c r="E317" s="143"/>
      <c r="F317" s="145"/>
      <c r="G317" s="85" t="s">
        <v>397</v>
      </c>
      <c r="H317" s="323">
        <f aca="true" t="shared" si="104" ref="H317:S317">SUM(H318)</f>
        <v>75615000</v>
      </c>
      <c r="I317" s="323">
        <f t="shared" si="104"/>
        <v>415137</v>
      </c>
      <c r="J317" s="323">
        <f t="shared" si="104"/>
        <v>338763</v>
      </c>
      <c r="K317" s="323">
        <f t="shared" si="104"/>
        <v>342300</v>
      </c>
      <c r="L317" s="323">
        <f t="shared" si="104"/>
        <v>45920069</v>
      </c>
      <c r="M317" s="323">
        <f t="shared" si="104"/>
        <v>322105</v>
      </c>
      <c r="N317" s="323">
        <f t="shared" si="104"/>
        <v>5380784</v>
      </c>
      <c r="O317" s="323">
        <f t="shared" si="104"/>
        <v>19955642</v>
      </c>
      <c r="P317" s="323">
        <f t="shared" si="104"/>
        <v>426090</v>
      </c>
      <c r="Q317" s="323">
        <f t="shared" si="104"/>
        <v>323100</v>
      </c>
      <c r="R317" s="323">
        <f t="shared" si="104"/>
        <v>0</v>
      </c>
      <c r="S317" s="323">
        <f t="shared" si="104"/>
        <v>0</v>
      </c>
      <c r="T317" s="329">
        <f>SUM(T318)</f>
        <v>0</v>
      </c>
      <c r="U317" s="323">
        <f>SUM(U318)</f>
        <v>73423990</v>
      </c>
      <c r="V317" s="251">
        <f t="shared" si="101"/>
        <v>2191010</v>
      </c>
      <c r="W317" s="237">
        <f>SUM(W318)</f>
        <v>0</v>
      </c>
      <c r="X317" s="252">
        <f aca="true" t="shared" si="105" ref="X317:X325">SUM(U317/H317)*100</f>
        <v>97.10241354228658</v>
      </c>
    </row>
    <row r="318" spans="2:24" ht="12.75">
      <c r="B318" s="146">
        <v>23</v>
      </c>
      <c r="C318" s="87" t="s">
        <v>12</v>
      </c>
      <c r="D318" s="134"/>
      <c r="E318" s="135"/>
      <c r="F318" s="136"/>
      <c r="G318" s="90" t="s">
        <v>398</v>
      </c>
      <c r="H318" s="226">
        <f>SUM(H319+H320)</f>
        <v>75615000</v>
      </c>
      <c r="I318" s="226">
        <f>SUM(I319+I320)</f>
        <v>415137</v>
      </c>
      <c r="J318" s="226">
        <f aca="true" t="shared" si="106" ref="J318:S318">SUM(J319+J320)</f>
        <v>338763</v>
      </c>
      <c r="K318" s="226">
        <f t="shared" si="106"/>
        <v>342300</v>
      </c>
      <c r="L318" s="226">
        <f t="shared" si="106"/>
        <v>45920069</v>
      </c>
      <c r="M318" s="226">
        <f t="shared" si="106"/>
        <v>322105</v>
      </c>
      <c r="N318" s="226">
        <f>SUM(N319+N320)</f>
        <v>5380784</v>
      </c>
      <c r="O318" s="226">
        <f t="shared" si="106"/>
        <v>19955642</v>
      </c>
      <c r="P318" s="226">
        <f t="shared" si="106"/>
        <v>426090</v>
      </c>
      <c r="Q318" s="226">
        <f t="shared" si="106"/>
        <v>323100</v>
      </c>
      <c r="R318" s="226">
        <f t="shared" si="106"/>
        <v>0</v>
      </c>
      <c r="S318" s="226">
        <f t="shared" si="106"/>
        <v>0</v>
      </c>
      <c r="T318" s="224">
        <f>SUM(T319+T320)</f>
        <v>0</v>
      </c>
      <c r="U318" s="226">
        <f>SUM(U319+U320)</f>
        <v>73423990</v>
      </c>
      <c r="V318" s="243">
        <f t="shared" si="101"/>
        <v>2191010</v>
      </c>
      <c r="W318" s="241">
        <f>SUM(W319)</f>
        <v>0</v>
      </c>
      <c r="X318" s="245">
        <f t="shared" si="105"/>
        <v>97.10241354228658</v>
      </c>
    </row>
    <row r="319" spans="2:24" ht="12.75">
      <c r="B319" s="115">
        <v>23</v>
      </c>
      <c r="C319" s="92" t="s">
        <v>12</v>
      </c>
      <c r="D319" s="93" t="s">
        <v>28</v>
      </c>
      <c r="E319" s="129"/>
      <c r="F319" s="118"/>
      <c r="G319" s="95" t="s">
        <v>399</v>
      </c>
      <c r="H319" s="322">
        <v>50581000</v>
      </c>
      <c r="I319" s="322">
        <v>0</v>
      </c>
      <c r="J319" s="322">
        <v>0</v>
      </c>
      <c r="K319" s="322">
        <v>0</v>
      </c>
      <c r="L319" s="322">
        <v>45580381</v>
      </c>
      <c r="M319" s="322">
        <v>0</v>
      </c>
      <c r="N319" s="322">
        <v>4947994</v>
      </c>
      <c r="O319" s="322">
        <v>0</v>
      </c>
      <c r="P319" s="322">
        <v>0</v>
      </c>
      <c r="Q319" s="322">
        <v>0</v>
      </c>
      <c r="R319" s="322">
        <v>0</v>
      </c>
      <c r="S319" s="322">
        <v>0</v>
      </c>
      <c r="T319" s="322">
        <v>0</v>
      </c>
      <c r="U319" s="322">
        <f>SUM(I319:T319)</f>
        <v>50528375</v>
      </c>
      <c r="V319" s="248">
        <f t="shared" si="101"/>
        <v>52625</v>
      </c>
      <c r="W319" s="35"/>
      <c r="X319" s="247">
        <f t="shared" si="105"/>
        <v>99.89595895692058</v>
      </c>
    </row>
    <row r="320" spans="2:24" ht="12.75">
      <c r="B320" s="115">
        <v>23</v>
      </c>
      <c r="C320" s="92" t="s">
        <v>10</v>
      </c>
      <c r="D320" s="93"/>
      <c r="E320" s="129"/>
      <c r="F320" s="118"/>
      <c r="G320" s="95" t="s">
        <v>542</v>
      </c>
      <c r="H320" s="322">
        <v>25034000</v>
      </c>
      <c r="I320" s="322">
        <f>SUM(I321:I322)</f>
        <v>415137</v>
      </c>
      <c r="J320" s="322">
        <f aca="true" t="shared" si="107" ref="J320:S320">SUM(J321:J322)</f>
        <v>338763</v>
      </c>
      <c r="K320" s="322">
        <f t="shared" si="107"/>
        <v>342300</v>
      </c>
      <c r="L320" s="322">
        <f t="shared" si="107"/>
        <v>339688</v>
      </c>
      <c r="M320" s="322">
        <f t="shared" si="107"/>
        <v>322105</v>
      </c>
      <c r="N320" s="322">
        <f>SUM(N321:N322)</f>
        <v>432790</v>
      </c>
      <c r="O320" s="322">
        <f t="shared" si="107"/>
        <v>19955642</v>
      </c>
      <c r="P320" s="322">
        <f t="shared" si="107"/>
        <v>426090</v>
      </c>
      <c r="Q320" s="322">
        <f t="shared" si="107"/>
        <v>323100</v>
      </c>
      <c r="R320" s="322">
        <f t="shared" si="107"/>
        <v>0</v>
      </c>
      <c r="S320" s="322">
        <f t="shared" si="107"/>
        <v>0</v>
      </c>
      <c r="T320" s="322">
        <f>SUM(T321:T322)</f>
        <v>0</v>
      </c>
      <c r="U320" s="322">
        <f>SUM(I320:T320)</f>
        <v>22895615</v>
      </c>
      <c r="V320" s="248">
        <f t="shared" si="101"/>
        <v>2138385</v>
      </c>
      <c r="W320" s="35"/>
      <c r="X320" s="247">
        <f t="shared" si="105"/>
        <v>91.45807701525925</v>
      </c>
    </row>
    <row r="321" spans="2:24" ht="12.75">
      <c r="B321" s="115"/>
      <c r="C321" s="92"/>
      <c r="D321" s="93" t="s">
        <v>14</v>
      </c>
      <c r="E321" s="129"/>
      <c r="F321" s="118"/>
      <c r="G321" s="95" t="s">
        <v>543</v>
      </c>
      <c r="H321" s="322">
        <v>0</v>
      </c>
      <c r="I321" s="322">
        <v>0</v>
      </c>
      <c r="J321" s="322">
        <v>0</v>
      </c>
      <c r="K321" s="322">
        <v>0</v>
      </c>
      <c r="L321" s="322">
        <v>0</v>
      </c>
      <c r="M321" s="322">
        <v>0</v>
      </c>
      <c r="N321" s="322">
        <v>0</v>
      </c>
      <c r="O321" s="322">
        <v>19633033</v>
      </c>
      <c r="P321" s="322">
        <v>0</v>
      </c>
      <c r="Q321" s="322">
        <v>0</v>
      </c>
      <c r="R321" s="322">
        <v>0</v>
      </c>
      <c r="S321" s="322">
        <v>0</v>
      </c>
      <c r="T321" s="322">
        <v>0</v>
      </c>
      <c r="U321" s="322">
        <f>SUM(I321:T321)</f>
        <v>19633033</v>
      </c>
      <c r="V321" s="248">
        <f t="shared" si="101"/>
        <v>-19633033</v>
      </c>
      <c r="W321" s="35"/>
      <c r="X321" s="247" t="e">
        <f t="shared" si="105"/>
        <v>#DIV/0!</v>
      </c>
    </row>
    <row r="322" spans="2:24" ht="12.75">
      <c r="B322" s="140"/>
      <c r="C322" s="92"/>
      <c r="D322" s="93" t="s">
        <v>28</v>
      </c>
      <c r="E322" s="129"/>
      <c r="F322" s="118"/>
      <c r="G322" s="95" t="s">
        <v>544</v>
      </c>
      <c r="H322" s="322">
        <v>5400000</v>
      </c>
      <c r="I322" s="322">
        <v>415137</v>
      </c>
      <c r="J322" s="322">
        <v>338763</v>
      </c>
      <c r="K322" s="322">
        <v>342300</v>
      </c>
      <c r="L322" s="322">
        <v>339688</v>
      </c>
      <c r="M322" s="322">
        <v>322105</v>
      </c>
      <c r="N322" s="322">
        <v>432790</v>
      </c>
      <c r="O322" s="322">
        <v>322609</v>
      </c>
      <c r="P322" s="322">
        <v>426090</v>
      </c>
      <c r="Q322" s="322">
        <v>323100</v>
      </c>
      <c r="R322" s="322">
        <v>0</v>
      </c>
      <c r="S322" s="322">
        <v>0</v>
      </c>
      <c r="T322" s="322">
        <v>0</v>
      </c>
      <c r="U322" s="322">
        <f>SUM(I322:T322)</f>
        <v>3262582</v>
      </c>
      <c r="V322" s="246">
        <f t="shared" si="101"/>
        <v>2137418</v>
      </c>
      <c r="W322" s="37"/>
      <c r="X322" s="247">
        <f t="shared" si="105"/>
        <v>60.41818518518518</v>
      </c>
    </row>
    <row r="323" spans="2:24" ht="12.75">
      <c r="B323" s="148">
        <v>24</v>
      </c>
      <c r="C323" s="143"/>
      <c r="D323" s="83"/>
      <c r="E323" s="143"/>
      <c r="F323" s="145"/>
      <c r="G323" s="85" t="s">
        <v>43</v>
      </c>
      <c r="H323" s="323">
        <f aca="true" t="shared" si="108" ref="H323:U323">SUM(H324+H335+H357+H358+H359+H360)</f>
        <v>15832448000</v>
      </c>
      <c r="I323" s="323">
        <f t="shared" si="108"/>
        <v>667205522</v>
      </c>
      <c r="J323" s="323">
        <f t="shared" si="108"/>
        <v>360682214</v>
      </c>
      <c r="K323" s="323">
        <f t="shared" si="108"/>
        <v>58579121</v>
      </c>
      <c r="L323" s="323">
        <f t="shared" si="108"/>
        <v>2471395346</v>
      </c>
      <c r="M323" s="323">
        <f t="shared" si="108"/>
        <v>890312299</v>
      </c>
      <c r="N323" s="323">
        <f t="shared" si="108"/>
        <v>130509420</v>
      </c>
      <c r="O323" s="323">
        <f t="shared" si="108"/>
        <v>7716988634</v>
      </c>
      <c r="P323" s="323">
        <f t="shared" si="108"/>
        <v>1186938916</v>
      </c>
      <c r="Q323" s="323">
        <f t="shared" si="108"/>
        <v>1772468584</v>
      </c>
      <c r="R323" s="323">
        <f t="shared" si="108"/>
        <v>0</v>
      </c>
      <c r="S323" s="323">
        <f t="shared" si="108"/>
        <v>0</v>
      </c>
      <c r="T323" s="329">
        <f t="shared" si="108"/>
        <v>0</v>
      </c>
      <c r="U323" s="323">
        <f t="shared" si="108"/>
        <v>15255080056</v>
      </c>
      <c r="V323" s="251">
        <f t="shared" si="101"/>
        <v>577367944</v>
      </c>
      <c r="W323" s="237">
        <f>SUM(W324+W335+W357+W358+W359+W360)</f>
        <v>301288364</v>
      </c>
      <c r="X323" s="252">
        <f t="shared" si="105"/>
        <v>96.35326170659143</v>
      </c>
    </row>
    <row r="324" spans="2:24" ht="12.75">
      <c r="B324" s="146">
        <v>24</v>
      </c>
      <c r="C324" s="87" t="s">
        <v>12</v>
      </c>
      <c r="D324" s="134"/>
      <c r="E324" s="135"/>
      <c r="F324" s="136"/>
      <c r="G324" s="90" t="s">
        <v>400</v>
      </c>
      <c r="H324" s="226">
        <f>SUM(H325:H334)</f>
        <v>11731828000</v>
      </c>
      <c r="I324" s="226">
        <f>SUM(I325:I334)</f>
        <v>619937176</v>
      </c>
      <c r="J324" s="226">
        <f aca="true" t="shared" si="109" ref="J324:S324">SUM(J325:J334)</f>
        <v>140559886</v>
      </c>
      <c r="K324" s="226">
        <f t="shared" si="109"/>
        <v>58579121</v>
      </c>
      <c r="L324" s="226">
        <f t="shared" si="109"/>
        <v>196870477</v>
      </c>
      <c r="M324" s="226">
        <f t="shared" si="109"/>
        <v>326041100</v>
      </c>
      <c r="N324" s="226">
        <f>SUM(N325:N334)</f>
        <v>103273106</v>
      </c>
      <c r="O324" s="226">
        <f t="shared" si="109"/>
        <v>7419174358</v>
      </c>
      <c r="P324" s="226">
        <f t="shared" si="109"/>
        <v>1178023541</v>
      </c>
      <c r="Q324" s="226">
        <f t="shared" si="109"/>
        <v>1124229646</v>
      </c>
      <c r="R324" s="226">
        <f t="shared" si="109"/>
        <v>0</v>
      </c>
      <c r="S324" s="226">
        <f t="shared" si="109"/>
        <v>0</v>
      </c>
      <c r="T324" s="226">
        <f>SUM(T325:T334)</f>
        <v>0</v>
      </c>
      <c r="U324" s="226">
        <f>SUM(U325:U334)</f>
        <v>11166688411</v>
      </c>
      <c r="V324" s="243">
        <f t="shared" si="101"/>
        <v>565139589</v>
      </c>
      <c r="W324" s="241">
        <f>SUM(W325:W334)</f>
        <v>50000</v>
      </c>
      <c r="X324" s="245">
        <f t="shared" si="105"/>
        <v>95.18285139366176</v>
      </c>
    </row>
    <row r="325" spans="2:24" ht="12.75">
      <c r="B325" s="91" t="s">
        <v>401</v>
      </c>
      <c r="C325" s="92" t="s">
        <v>12</v>
      </c>
      <c r="D325" s="93" t="s">
        <v>14</v>
      </c>
      <c r="E325" s="96"/>
      <c r="F325" s="97"/>
      <c r="G325" s="121" t="s">
        <v>402</v>
      </c>
      <c r="H325" s="322">
        <v>51750000</v>
      </c>
      <c r="I325" s="322">
        <v>10754782</v>
      </c>
      <c r="J325" s="322">
        <v>5152513</v>
      </c>
      <c r="K325" s="322">
        <v>4458664</v>
      </c>
      <c r="L325" s="322">
        <v>8667041</v>
      </c>
      <c r="M325" s="322">
        <v>5304766</v>
      </c>
      <c r="N325" s="322">
        <v>3452290</v>
      </c>
      <c r="O325" s="322">
        <v>1136850</v>
      </c>
      <c r="P325" s="322">
        <v>1386470</v>
      </c>
      <c r="Q325" s="322">
        <v>6245399</v>
      </c>
      <c r="R325" s="322">
        <v>0</v>
      </c>
      <c r="S325" s="322">
        <v>0</v>
      </c>
      <c r="T325" s="322">
        <v>0</v>
      </c>
      <c r="U325" s="322">
        <f aca="true" t="shared" si="110" ref="U325:U360">SUM(I325:T325)</f>
        <v>46558775</v>
      </c>
      <c r="V325" s="248">
        <f t="shared" si="101"/>
        <v>5191225</v>
      </c>
      <c r="W325" s="35"/>
      <c r="X325" s="247">
        <f t="shared" si="105"/>
        <v>89.96864734299517</v>
      </c>
    </row>
    <row r="326" spans="2:24" ht="12.75" customHeight="1" hidden="1">
      <c r="B326" s="91" t="s">
        <v>401</v>
      </c>
      <c r="C326" s="92" t="s">
        <v>12</v>
      </c>
      <c r="D326" s="93" t="s">
        <v>17</v>
      </c>
      <c r="E326" s="96"/>
      <c r="F326" s="97"/>
      <c r="G326" s="121" t="s">
        <v>403</v>
      </c>
      <c r="H326" s="322">
        <v>0</v>
      </c>
      <c r="I326" s="322">
        <v>0</v>
      </c>
      <c r="J326" s="322">
        <v>0</v>
      </c>
      <c r="K326" s="322">
        <v>0</v>
      </c>
      <c r="L326" s="322">
        <v>0</v>
      </c>
      <c r="M326" s="322">
        <v>0</v>
      </c>
      <c r="N326" s="322">
        <v>0</v>
      </c>
      <c r="O326" s="322">
        <v>0</v>
      </c>
      <c r="P326" s="322">
        <v>0</v>
      </c>
      <c r="Q326" s="322">
        <v>0</v>
      </c>
      <c r="R326" s="322">
        <v>0</v>
      </c>
      <c r="S326" s="322">
        <v>0</v>
      </c>
      <c r="T326" s="322">
        <v>0</v>
      </c>
      <c r="U326" s="322">
        <f t="shared" si="110"/>
        <v>0</v>
      </c>
      <c r="V326" s="248">
        <f t="shared" si="101"/>
        <v>0</v>
      </c>
      <c r="W326" s="35"/>
      <c r="X326" s="247">
        <v>0</v>
      </c>
    </row>
    <row r="327" spans="2:24" ht="12.75">
      <c r="B327" s="91" t="s">
        <v>401</v>
      </c>
      <c r="C327" s="92" t="s">
        <v>12</v>
      </c>
      <c r="D327" s="93" t="s">
        <v>22</v>
      </c>
      <c r="E327" s="96" t="s">
        <v>14</v>
      </c>
      <c r="F327" s="97"/>
      <c r="G327" s="121" t="s">
        <v>404</v>
      </c>
      <c r="H327" s="322">
        <v>500000000</v>
      </c>
      <c r="I327" s="322">
        <v>500000000</v>
      </c>
      <c r="J327" s="322">
        <v>0</v>
      </c>
      <c r="K327" s="322">
        <v>0</v>
      </c>
      <c r="L327" s="322">
        <v>0</v>
      </c>
      <c r="M327" s="322">
        <v>0</v>
      </c>
      <c r="N327" s="322">
        <v>0</v>
      </c>
      <c r="O327" s="322">
        <v>0</v>
      </c>
      <c r="P327" s="322">
        <v>0</v>
      </c>
      <c r="Q327" s="322">
        <v>0</v>
      </c>
      <c r="R327" s="322">
        <v>0</v>
      </c>
      <c r="S327" s="322">
        <v>0</v>
      </c>
      <c r="T327" s="322">
        <v>0</v>
      </c>
      <c r="U327" s="322">
        <f t="shared" si="110"/>
        <v>500000000</v>
      </c>
      <c r="V327" s="248">
        <f t="shared" si="101"/>
        <v>0</v>
      </c>
      <c r="W327" s="35">
        <v>0</v>
      </c>
      <c r="X327" s="247">
        <f>SUM(U327/H327)*100</f>
        <v>100</v>
      </c>
    </row>
    <row r="328" spans="2:24" ht="12.75">
      <c r="B328" s="91" t="s">
        <v>401</v>
      </c>
      <c r="C328" s="92" t="s">
        <v>12</v>
      </c>
      <c r="D328" s="93" t="s">
        <v>22</v>
      </c>
      <c r="E328" s="96" t="s">
        <v>17</v>
      </c>
      <c r="F328" s="97"/>
      <c r="G328" s="121" t="s">
        <v>670</v>
      </c>
      <c r="H328" s="322">
        <v>9237907000</v>
      </c>
      <c r="I328" s="322"/>
      <c r="J328" s="322"/>
      <c r="K328" s="322"/>
      <c r="L328" s="322"/>
      <c r="M328" s="322"/>
      <c r="N328" s="322"/>
      <c r="O328" s="322">
        <v>7343018106</v>
      </c>
      <c r="P328" s="322">
        <v>963432629</v>
      </c>
      <c r="Q328" s="322">
        <f>1820578990-963432629</f>
        <v>857146361</v>
      </c>
      <c r="R328" s="322"/>
      <c r="S328" s="322"/>
      <c r="T328" s="322"/>
      <c r="U328" s="322">
        <f t="shared" si="110"/>
        <v>9163597096</v>
      </c>
      <c r="V328" s="248">
        <f t="shared" si="101"/>
        <v>74309904</v>
      </c>
      <c r="W328" s="35"/>
      <c r="X328" s="247">
        <f>SUM(U328/H328)*100</f>
        <v>99.1955980505108</v>
      </c>
    </row>
    <row r="329" spans="2:24" ht="12.75">
      <c r="B329" s="91" t="s">
        <v>401</v>
      </c>
      <c r="C329" s="92" t="s">
        <v>12</v>
      </c>
      <c r="D329" s="93" t="s">
        <v>28</v>
      </c>
      <c r="E329" s="96"/>
      <c r="F329" s="97"/>
      <c r="G329" s="121" t="s">
        <v>405</v>
      </c>
      <c r="H329" s="322">
        <v>264500000</v>
      </c>
      <c r="I329" s="322">
        <f>6970000+32220000</f>
        <v>39190000</v>
      </c>
      <c r="J329" s="322">
        <f>1000000+50000-540000</f>
        <v>510000</v>
      </c>
      <c r="K329" s="322">
        <f>50000-180000</f>
        <v>-130000</v>
      </c>
      <c r="L329" s="322">
        <v>28473000</v>
      </c>
      <c r="M329" s="322">
        <v>16779669</v>
      </c>
      <c r="N329" s="322">
        <f>1120000+50000+31400000+28600000+8000000+13200000</f>
        <v>82370000</v>
      </c>
      <c r="O329" s="322">
        <f>24381171+50000</f>
        <v>24431171</v>
      </c>
      <c r="P329" s="322">
        <f>7345380-200000+22000000+10000000</f>
        <v>39145380</v>
      </c>
      <c r="Q329" s="322">
        <f>12182000+100000</f>
        <v>12282000</v>
      </c>
      <c r="R329" s="322">
        <v>0</v>
      </c>
      <c r="S329" s="322">
        <v>0</v>
      </c>
      <c r="T329" s="322">
        <v>0</v>
      </c>
      <c r="U329" s="322">
        <f t="shared" si="110"/>
        <v>243051220</v>
      </c>
      <c r="V329" s="248">
        <f t="shared" si="101"/>
        <v>21448780</v>
      </c>
      <c r="W329" s="35"/>
      <c r="X329" s="247">
        <f>SUM(U329/H329)*100</f>
        <v>91.89082041587902</v>
      </c>
    </row>
    <row r="330" spans="2:24" ht="12.75" customHeight="1" hidden="1">
      <c r="B330" s="91" t="s">
        <v>401</v>
      </c>
      <c r="C330" s="92" t="s">
        <v>12</v>
      </c>
      <c r="D330" s="93" t="s">
        <v>54</v>
      </c>
      <c r="E330" s="96"/>
      <c r="F330" s="97"/>
      <c r="G330" s="121" t="s">
        <v>406</v>
      </c>
      <c r="H330" s="322">
        <v>0</v>
      </c>
      <c r="I330" s="322">
        <v>0</v>
      </c>
      <c r="J330" s="322">
        <v>0</v>
      </c>
      <c r="K330" s="322">
        <v>0</v>
      </c>
      <c r="L330" s="322">
        <v>0</v>
      </c>
      <c r="M330" s="322">
        <v>0</v>
      </c>
      <c r="N330" s="322">
        <v>0</v>
      </c>
      <c r="O330" s="322">
        <v>0</v>
      </c>
      <c r="P330" s="322">
        <v>0</v>
      </c>
      <c r="Q330" s="322">
        <v>0</v>
      </c>
      <c r="R330" s="322">
        <v>0</v>
      </c>
      <c r="S330" s="322">
        <v>0</v>
      </c>
      <c r="T330" s="322">
        <v>0</v>
      </c>
      <c r="U330" s="322">
        <f t="shared" si="110"/>
        <v>0</v>
      </c>
      <c r="V330" s="248">
        <f t="shared" si="101"/>
        <v>0</v>
      </c>
      <c r="W330" s="35"/>
      <c r="X330" s="247">
        <v>0</v>
      </c>
    </row>
    <row r="331" spans="2:24" ht="12.75">
      <c r="B331" s="91" t="s">
        <v>401</v>
      </c>
      <c r="C331" s="92" t="s">
        <v>12</v>
      </c>
      <c r="D331" s="93" t="s">
        <v>57</v>
      </c>
      <c r="E331" s="96"/>
      <c r="F331" s="97"/>
      <c r="G331" s="121" t="s">
        <v>407</v>
      </c>
      <c r="H331" s="322">
        <v>65000000</v>
      </c>
      <c r="I331" s="322">
        <v>0</v>
      </c>
      <c r="J331" s="322">
        <v>0</v>
      </c>
      <c r="K331" s="322">
        <v>30000000</v>
      </c>
      <c r="L331" s="322">
        <v>26000000</v>
      </c>
      <c r="M331" s="322">
        <v>1000000</v>
      </c>
      <c r="N331" s="322">
        <v>0</v>
      </c>
      <c r="O331" s="322">
        <v>1300000</v>
      </c>
      <c r="P331" s="322">
        <v>0</v>
      </c>
      <c r="Q331" s="322">
        <v>800000</v>
      </c>
      <c r="R331" s="322">
        <v>0</v>
      </c>
      <c r="S331" s="322">
        <v>0</v>
      </c>
      <c r="T331" s="322">
        <v>0</v>
      </c>
      <c r="U331" s="322">
        <f t="shared" si="110"/>
        <v>59100000</v>
      </c>
      <c r="V331" s="248">
        <f t="shared" si="101"/>
        <v>5900000</v>
      </c>
      <c r="W331" s="35"/>
      <c r="X331" s="247">
        <f>SUM(U331/H331)*100</f>
        <v>90.92307692307692</v>
      </c>
    </row>
    <row r="332" spans="2:24" ht="12.75">
      <c r="B332" s="91" t="s">
        <v>401</v>
      </c>
      <c r="C332" s="92" t="s">
        <v>12</v>
      </c>
      <c r="D332" s="93" t="s">
        <v>61</v>
      </c>
      <c r="E332" s="96"/>
      <c r="F332" s="97"/>
      <c r="G332" s="121" t="s">
        <v>408</v>
      </c>
      <c r="H332" s="322">
        <v>120300000</v>
      </c>
      <c r="I332" s="322">
        <v>2947394</v>
      </c>
      <c r="J332" s="322">
        <v>4534869</v>
      </c>
      <c r="K332" s="322">
        <v>10498881</v>
      </c>
      <c r="L332" s="322">
        <v>16925160</v>
      </c>
      <c r="M332" s="322">
        <v>8915364</v>
      </c>
      <c r="N332" s="322">
        <v>14297985</v>
      </c>
      <c r="O332" s="322">
        <v>6731502</v>
      </c>
      <c r="P332" s="322">
        <v>13592081</v>
      </c>
      <c r="Q332" s="322">
        <v>8923925</v>
      </c>
      <c r="R332" s="322">
        <v>0</v>
      </c>
      <c r="S332" s="322">
        <v>0</v>
      </c>
      <c r="T332" s="322">
        <v>0</v>
      </c>
      <c r="U332" s="322">
        <f t="shared" si="110"/>
        <v>87367161</v>
      </c>
      <c r="V332" s="248">
        <f aca="true" t="shared" si="111" ref="V332:V360">H332-U332</f>
        <v>32932839</v>
      </c>
      <c r="W332" s="35">
        <v>50000</v>
      </c>
      <c r="X332" s="247">
        <f>SUM(U332/H332)*100</f>
        <v>72.62440648379052</v>
      </c>
    </row>
    <row r="333" spans="2:24" ht="12.75">
      <c r="B333" s="91" t="s">
        <v>401</v>
      </c>
      <c r="C333" s="92" t="s">
        <v>12</v>
      </c>
      <c r="D333" s="93" t="s">
        <v>65</v>
      </c>
      <c r="E333" s="96"/>
      <c r="F333" s="97"/>
      <c r="G333" s="121" t="s">
        <v>409</v>
      </c>
      <c r="H333" s="322">
        <v>126738000</v>
      </c>
      <c r="I333" s="322">
        <v>7045000</v>
      </c>
      <c r="J333" s="322">
        <f>228004+134500</f>
        <v>362504</v>
      </c>
      <c r="K333" s="322">
        <f>807490+1282106+747980</f>
        <v>2837576</v>
      </c>
      <c r="L333" s="322">
        <f>130000+464930+6210346</f>
        <v>6805276</v>
      </c>
      <c r="M333" s="322">
        <f>6673865+20040+10303767</f>
        <v>16997672</v>
      </c>
      <c r="N333" s="322">
        <f>371500+49000+2732331</f>
        <v>3152831</v>
      </c>
      <c r="O333" s="322">
        <f>2296909+180400+79420</f>
        <v>2556729</v>
      </c>
      <c r="P333" s="322">
        <f>2583445+231000+53840+430196</f>
        <v>3298481</v>
      </c>
      <c r="Q333" s="322">
        <f>678451+1153510</f>
        <v>1831961</v>
      </c>
      <c r="R333" s="322">
        <v>0</v>
      </c>
      <c r="S333" s="322">
        <v>0</v>
      </c>
      <c r="T333" s="322">
        <v>0</v>
      </c>
      <c r="U333" s="322">
        <f t="shared" si="110"/>
        <v>44888030</v>
      </c>
      <c r="V333" s="248">
        <f t="shared" si="111"/>
        <v>81849970</v>
      </c>
      <c r="W333" s="35"/>
      <c r="X333" s="247">
        <f>SUM(U333/H333)*100</f>
        <v>35.41797251021793</v>
      </c>
    </row>
    <row r="334" spans="2:24" ht="12.75">
      <c r="B334" s="91" t="s">
        <v>401</v>
      </c>
      <c r="C334" s="92" t="s">
        <v>12</v>
      </c>
      <c r="D334" s="93" t="s">
        <v>30</v>
      </c>
      <c r="E334" s="141"/>
      <c r="F334" s="149"/>
      <c r="G334" s="95" t="s">
        <v>410</v>
      </c>
      <c r="H334" s="322">
        <v>1365633000</v>
      </c>
      <c r="I334" s="322">
        <v>60000000</v>
      </c>
      <c r="J334" s="322">
        <v>130000000</v>
      </c>
      <c r="K334" s="322">
        <v>10914000</v>
      </c>
      <c r="L334" s="322">
        <v>110000000</v>
      </c>
      <c r="M334" s="322">
        <f>4700500+272343129</f>
        <v>277043629</v>
      </c>
      <c r="N334" s="322">
        <v>0</v>
      </c>
      <c r="O334" s="322">
        <v>40000000</v>
      </c>
      <c r="P334" s="322">
        <f>87299500+29869000+40000000</f>
        <v>157168500</v>
      </c>
      <c r="Q334" s="322">
        <v>237000000</v>
      </c>
      <c r="R334" s="322">
        <v>0</v>
      </c>
      <c r="S334" s="322">
        <v>0</v>
      </c>
      <c r="T334" s="322">
        <v>0</v>
      </c>
      <c r="U334" s="322">
        <f t="shared" si="110"/>
        <v>1022126129</v>
      </c>
      <c r="V334" s="248">
        <f t="shared" si="111"/>
        <v>343506871</v>
      </c>
      <c r="W334" s="35"/>
      <c r="X334" s="247">
        <f>SUM(U334/H334)*100</f>
        <v>74.84632613593843</v>
      </c>
    </row>
    <row r="335" spans="2:24" ht="12.75">
      <c r="B335" s="146">
        <v>24</v>
      </c>
      <c r="C335" s="87" t="s">
        <v>10</v>
      </c>
      <c r="D335" s="134"/>
      <c r="E335" s="135"/>
      <c r="F335" s="136"/>
      <c r="G335" s="90" t="s">
        <v>411</v>
      </c>
      <c r="H335" s="226">
        <f>SUM(H336+H338+H341+H345+H349+H351+H352+H353)</f>
        <v>4100620000</v>
      </c>
      <c r="I335" s="226">
        <f aca="true" t="shared" si="112" ref="I335:T335">SUM(I336+I338+I341+I345+I349+I351+I352+I353)</f>
        <v>47268346</v>
      </c>
      <c r="J335" s="226">
        <f t="shared" si="112"/>
        <v>220122328</v>
      </c>
      <c r="K335" s="226">
        <f t="shared" si="112"/>
        <v>0</v>
      </c>
      <c r="L335" s="226">
        <f t="shared" si="112"/>
        <v>2274524869</v>
      </c>
      <c r="M335" s="226">
        <f t="shared" si="112"/>
        <v>564271199</v>
      </c>
      <c r="N335" s="226">
        <f t="shared" si="112"/>
        <v>27236314</v>
      </c>
      <c r="O335" s="226">
        <f t="shared" si="112"/>
        <v>297814276</v>
      </c>
      <c r="P335" s="226">
        <f t="shared" si="112"/>
        <v>8915375</v>
      </c>
      <c r="Q335" s="226">
        <f t="shared" si="112"/>
        <v>648238938</v>
      </c>
      <c r="R335" s="226">
        <f t="shared" si="112"/>
        <v>0</v>
      </c>
      <c r="S335" s="226">
        <f t="shared" si="112"/>
        <v>0</v>
      </c>
      <c r="T335" s="226">
        <f t="shared" si="112"/>
        <v>0</v>
      </c>
      <c r="U335" s="226">
        <f>SUM(U336+U338+U341+U345+U349+U351+U352+U353)</f>
        <v>4088391645</v>
      </c>
      <c r="V335" s="243">
        <f t="shared" si="111"/>
        <v>12228355</v>
      </c>
      <c r="W335" s="241">
        <f>SUM(W336+W338+W341+W345+W349+W351+W352+W353)</f>
        <v>301238364</v>
      </c>
      <c r="X335" s="245">
        <f>SUM(U335/H335)*100</f>
        <v>99.70179253381197</v>
      </c>
    </row>
    <row r="336" spans="2:24" ht="12.75">
      <c r="B336" s="91" t="s">
        <v>401</v>
      </c>
      <c r="C336" s="92" t="s">
        <v>10</v>
      </c>
      <c r="D336" s="93" t="s">
        <v>17</v>
      </c>
      <c r="E336" s="96"/>
      <c r="F336" s="149"/>
      <c r="G336" s="95" t="s">
        <v>413</v>
      </c>
      <c r="H336" s="225">
        <f aca="true" t="shared" si="113" ref="H336:W336">SUM(H337)</f>
        <v>12921000</v>
      </c>
      <c r="I336" s="225">
        <f t="shared" si="113"/>
        <v>817681</v>
      </c>
      <c r="J336" s="225">
        <f t="shared" si="113"/>
        <v>2703181</v>
      </c>
      <c r="K336" s="225">
        <f t="shared" si="113"/>
        <v>0</v>
      </c>
      <c r="L336" s="225">
        <f t="shared" si="113"/>
        <v>1498789</v>
      </c>
      <c r="M336" s="225">
        <f t="shared" si="113"/>
        <v>3095011</v>
      </c>
      <c r="N336" s="225">
        <f t="shared" si="113"/>
        <v>0</v>
      </c>
      <c r="O336" s="225">
        <f t="shared" si="113"/>
        <v>2347946</v>
      </c>
      <c r="P336" s="225">
        <f t="shared" si="113"/>
        <v>0</v>
      </c>
      <c r="Q336" s="225">
        <f t="shared" si="113"/>
        <v>2810950</v>
      </c>
      <c r="R336" s="225">
        <f t="shared" si="113"/>
        <v>0</v>
      </c>
      <c r="S336" s="225">
        <f t="shared" si="113"/>
        <v>0</v>
      </c>
      <c r="T336" s="225">
        <f t="shared" si="113"/>
        <v>0</v>
      </c>
      <c r="U336" s="225">
        <f t="shared" si="113"/>
        <v>13273558</v>
      </c>
      <c r="V336" s="246">
        <f t="shared" si="111"/>
        <v>-352558</v>
      </c>
      <c r="W336" s="37">
        <f t="shared" si="113"/>
        <v>1477838</v>
      </c>
      <c r="X336" s="247">
        <f aca="true" t="shared" si="114" ref="X336:X342">SUM(U336/H336)*100</f>
        <v>102.7285659004721</v>
      </c>
    </row>
    <row r="337" spans="2:24" ht="12.75">
      <c r="B337" s="91"/>
      <c r="C337" s="92"/>
      <c r="D337" s="111"/>
      <c r="E337" s="106" t="s">
        <v>14</v>
      </c>
      <c r="F337" s="150"/>
      <c r="G337" s="107" t="s">
        <v>414</v>
      </c>
      <c r="H337" s="322">
        <v>12921000</v>
      </c>
      <c r="I337" s="322">
        <v>817681</v>
      </c>
      <c r="J337" s="322">
        <v>2703181</v>
      </c>
      <c r="K337" s="322">
        <v>0</v>
      </c>
      <c r="L337" s="322">
        <v>1498789</v>
      </c>
      <c r="M337" s="322">
        <v>3095011</v>
      </c>
      <c r="N337" s="322">
        <v>0</v>
      </c>
      <c r="O337" s="322">
        <v>2347946</v>
      </c>
      <c r="P337" s="322">
        <v>0</v>
      </c>
      <c r="Q337" s="322">
        <v>2810950</v>
      </c>
      <c r="R337" s="322">
        <v>0</v>
      </c>
      <c r="S337" s="322">
        <v>0</v>
      </c>
      <c r="T337" s="322">
        <v>0</v>
      </c>
      <c r="U337" s="322">
        <f t="shared" si="110"/>
        <v>13273558</v>
      </c>
      <c r="V337" s="248">
        <f t="shared" si="111"/>
        <v>-352558</v>
      </c>
      <c r="W337" s="35">
        <v>1477838</v>
      </c>
      <c r="X337" s="247">
        <f t="shared" si="114"/>
        <v>102.7285659004721</v>
      </c>
    </row>
    <row r="338" spans="2:24" ht="12.75">
      <c r="B338" s="91" t="s">
        <v>401</v>
      </c>
      <c r="C338" s="92" t="s">
        <v>10</v>
      </c>
      <c r="D338" s="93" t="s">
        <v>415</v>
      </c>
      <c r="E338" s="96"/>
      <c r="F338" s="149"/>
      <c r="G338" s="95" t="s">
        <v>416</v>
      </c>
      <c r="H338" s="225">
        <f>SUM(H339:H340)</f>
        <v>19252000</v>
      </c>
      <c r="I338" s="225">
        <f>SUM(I339:I340)</f>
        <v>0</v>
      </c>
      <c r="J338" s="225">
        <f aca="true" t="shared" si="115" ref="J338:S338">SUM(J339:J340)</f>
        <v>1500000</v>
      </c>
      <c r="K338" s="225">
        <f t="shared" si="115"/>
        <v>0</v>
      </c>
      <c r="L338" s="225">
        <f t="shared" si="115"/>
        <v>0</v>
      </c>
      <c r="M338" s="225">
        <f t="shared" si="115"/>
        <v>0</v>
      </c>
      <c r="N338" s="225">
        <f>SUM(N339:N340)</f>
        <v>16252000</v>
      </c>
      <c r="O338" s="225">
        <f t="shared" si="115"/>
        <v>0</v>
      </c>
      <c r="P338" s="225">
        <f t="shared" si="115"/>
        <v>0</v>
      </c>
      <c r="Q338" s="225">
        <f t="shared" si="115"/>
        <v>1500000</v>
      </c>
      <c r="R338" s="225">
        <f t="shared" si="115"/>
        <v>0</v>
      </c>
      <c r="S338" s="225">
        <f t="shared" si="115"/>
        <v>0</v>
      </c>
      <c r="T338" s="225">
        <f>SUM(T339:T340)</f>
        <v>0</v>
      </c>
      <c r="U338" s="225">
        <f>SUM(U339:U340)</f>
        <v>19252000</v>
      </c>
      <c r="V338" s="246">
        <f t="shared" si="111"/>
        <v>0</v>
      </c>
      <c r="W338" s="37">
        <f>+W339+W340</f>
        <v>0</v>
      </c>
      <c r="X338" s="247">
        <f t="shared" si="114"/>
        <v>100</v>
      </c>
    </row>
    <row r="339" spans="2:24" ht="12.75">
      <c r="B339" s="91"/>
      <c r="C339" s="92"/>
      <c r="D339" s="93"/>
      <c r="E339" s="96" t="s">
        <v>14</v>
      </c>
      <c r="F339" s="149"/>
      <c r="G339" s="98" t="s">
        <v>417</v>
      </c>
      <c r="H339" s="322">
        <v>8752000</v>
      </c>
      <c r="I339" s="322">
        <v>0</v>
      </c>
      <c r="J339" s="322">
        <v>0</v>
      </c>
      <c r="K339" s="322">
        <v>0</v>
      </c>
      <c r="L339" s="322">
        <v>0</v>
      </c>
      <c r="M339" s="322">
        <v>0</v>
      </c>
      <c r="N339" s="322">
        <v>8752000</v>
      </c>
      <c r="O339" s="322">
        <v>0</v>
      </c>
      <c r="P339" s="322">
        <v>0</v>
      </c>
      <c r="Q339" s="322">
        <v>0</v>
      </c>
      <c r="R339" s="322">
        <v>0</v>
      </c>
      <c r="S339" s="322">
        <v>0</v>
      </c>
      <c r="T339" s="322">
        <v>0</v>
      </c>
      <c r="U339" s="322">
        <f t="shared" si="110"/>
        <v>8752000</v>
      </c>
      <c r="V339" s="248">
        <f t="shared" si="111"/>
        <v>0</v>
      </c>
      <c r="W339" s="43">
        <v>0</v>
      </c>
      <c r="X339" s="247">
        <f t="shared" si="114"/>
        <v>100</v>
      </c>
    </row>
    <row r="340" spans="2:24" ht="12.75">
      <c r="B340" s="91"/>
      <c r="C340" s="92"/>
      <c r="D340" s="93"/>
      <c r="E340" s="96" t="s">
        <v>17</v>
      </c>
      <c r="F340" s="118"/>
      <c r="G340" s="98" t="s">
        <v>418</v>
      </c>
      <c r="H340" s="322">
        <v>10500000</v>
      </c>
      <c r="I340" s="322">
        <v>0</v>
      </c>
      <c r="J340" s="322">
        <v>1500000</v>
      </c>
      <c r="K340" s="322">
        <v>0</v>
      </c>
      <c r="L340" s="322">
        <v>0</v>
      </c>
      <c r="M340" s="322">
        <v>0</v>
      </c>
      <c r="N340" s="322">
        <v>7500000</v>
      </c>
      <c r="O340" s="322">
        <v>0</v>
      </c>
      <c r="P340" s="322">
        <v>0</v>
      </c>
      <c r="Q340" s="322">
        <v>1500000</v>
      </c>
      <c r="R340" s="322">
        <v>0</v>
      </c>
      <c r="S340" s="322">
        <v>0</v>
      </c>
      <c r="T340" s="322">
        <v>0</v>
      </c>
      <c r="U340" s="322">
        <f t="shared" si="110"/>
        <v>10500000</v>
      </c>
      <c r="V340" s="248">
        <f t="shared" si="111"/>
        <v>0</v>
      </c>
      <c r="W340" s="35">
        <v>0</v>
      </c>
      <c r="X340" s="247">
        <f t="shared" si="114"/>
        <v>100</v>
      </c>
    </row>
    <row r="341" spans="2:24" ht="12.75">
      <c r="B341" s="91" t="s">
        <v>401</v>
      </c>
      <c r="C341" s="92" t="s">
        <v>10</v>
      </c>
      <c r="D341" s="93" t="s">
        <v>419</v>
      </c>
      <c r="E341" s="96"/>
      <c r="F341" s="118"/>
      <c r="G341" s="95" t="s">
        <v>420</v>
      </c>
      <c r="H341" s="225">
        <f>SUM(H342:H344)</f>
        <v>3702417000</v>
      </c>
      <c r="I341" s="225">
        <f>SUM(I342:I344)</f>
        <v>44153829</v>
      </c>
      <c r="J341" s="225">
        <f aca="true" t="shared" si="116" ref="J341:S341">SUM(J342:J344)</f>
        <v>206081469</v>
      </c>
      <c r="K341" s="225">
        <f t="shared" si="116"/>
        <v>0</v>
      </c>
      <c r="L341" s="225">
        <f t="shared" si="116"/>
        <v>2153602287</v>
      </c>
      <c r="M341" s="225">
        <f t="shared" si="116"/>
        <v>493092069</v>
      </c>
      <c r="N341" s="225">
        <f>SUM(N342:N344)</f>
        <v>0</v>
      </c>
      <c r="O341" s="225">
        <f t="shared" si="116"/>
        <v>158907025</v>
      </c>
      <c r="P341" s="225">
        <f t="shared" si="116"/>
        <v>0</v>
      </c>
      <c r="Q341" s="225">
        <f t="shared" si="116"/>
        <v>624857343</v>
      </c>
      <c r="R341" s="225">
        <f t="shared" si="116"/>
        <v>0</v>
      </c>
      <c r="S341" s="225">
        <f t="shared" si="116"/>
        <v>0</v>
      </c>
      <c r="T341" s="225">
        <f>SUM(T342:T344)</f>
        <v>0</v>
      </c>
      <c r="U341" s="225">
        <f>SUM(U342:U344)</f>
        <v>3680694022</v>
      </c>
      <c r="V341" s="246">
        <f t="shared" si="111"/>
        <v>21722978</v>
      </c>
      <c r="W341" s="37">
        <f>SUM(W342:W344)</f>
        <v>289247665</v>
      </c>
      <c r="X341" s="247">
        <f t="shared" si="114"/>
        <v>99.41327576013182</v>
      </c>
    </row>
    <row r="342" spans="2:24" ht="12.75">
      <c r="B342" s="91"/>
      <c r="C342" s="92"/>
      <c r="D342" s="93"/>
      <c r="E342" s="96" t="s">
        <v>14</v>
      </c>
      <c r="F342" s="118"/>
      <c r="G342" s="98" t="s">
        <v>421</v>
      </c>
      <c r="H342" s="322">
        <v>3702417000</v>
      </c>
      <c r="I342" s="322">
        <v>44153829</v>
      </c>
      <c r="J342" s="322">
        <v>206081469</v>
      </c>
      <c r="K342" s="322">
        <v>0</v>
      </c>
      <c r="L342" s="322">
        <v>2153602287</v>
      </c>
      <c r="M342" s="322">
        <v>493092069</v>
      </c>
      <c r="N342" s="322">
        <v>0</v>
      </c>
      <c r="O342" s="322">
        <v>158907025</v>
      </c>
      <c r="P342" s="322">
        <v>0</v>
      </c>
      <c r="Q342" s="322">
        <v>624857343</v>
      </c>
      <c r="R342" s="322">
        <v>0</v>
      </c>
      <c r="S342" s="322">
        <v>0</v>
      </c>
      <c r="T342" s="322">
        <v>0</v>
      </c>
      <c r="U342" s="322">
        <f t="shared" si="110"/>
        <v>3680694022</v>
      </c>
      <c r="V342" s="248">
        <f t="shared" si="111"/>
        <v>21722978</v>
      </c>
      <c r="W342" s="35">
        <v>289247665</v>
      </c>
      <c r="X342" s="247">
        <f t="shared" si="114"/>
        <v>99.41327576013182</v>
      </c>
    </row>
    <row r="343" spans="2:24" ht="12.75">
      <c r="B343" s="91"/>
      <c r="C343" s="92"/>
      <c r="D343" s="93"/>
      <c r="E343" s="96" t="s">
        <v>17</v>
      </c>
      <c r="F343" s="118"/>
      <c r="G343" s="98" t="s">
        <v>422</v>
      </c>
      <c r="H343" s="322">
        <v>0</v>
      </c>
      <c r="I343" s="322">
        <v>0</v>
      </c>
      <c r="J343" s="322">
        <v>0</v>
      </c>
      <c r="K343" s="322">
        <v>0</v>
      </c>
      <c r="L343" s="322">
        <v>0</v>
      </c>
      <c r="M343" s="322">
        <v>0</v>
      </c>
      <c r="N343" s="322">
        <v>0</v>
      </c>
      <c r="O343" s="322">
        <v>0</v>
      </c>
      <c r="P343" s="322">
        <v>0</v>
      </c>
      <c r="Q343" s="322">
        <v>0</v>
      </c>
      <c r="R343" s="322">
        <v>0</v>
      </c>
      <c r="S343" s="322">
        <v>0</v>
      </c>
      <c r="T343" s="322">
        <v>0</v>
      </c>
      <c r="U343" s="322">
        <f t="shared" si="110"/>
        <v>0</v>
      </c>
      <c r="V343" s="248">
        <f t="shared" si="111"/>
        <v>0</v>
      </c>
      <c r="W343" s="35"/>
      <c r="X343" s="247">
        <v>0</v>
      </c>
    </row>
    <row r="344" spans="2:24" ht="12.75" customHeight="1" hidden="1">
      <c r="B344" s="91"/>
      <c r="C344" s="92"/>
      <c r="D344" s="93"/>
      <c r="E344" s="96" t="s">
        <v>22</v>
      </c>
      <c r="F344" s="118"/>
      <c r="G344" s="98" t="s">
        <v>423</v>
      </c>
      <c r="H344" s="322"/>
      <c r="I344" s="322"/>
      <c r="J344" s="322"/>
      <c r="K344" s="322"/>
      <c r="L344" s="322"/>
      <c r="M344" s="322"/>
      <c r="N344" s="322"/>
      <c r="O344" s="322"/>
      <c r="P344" s="322"/>
      <c r="Q344" s="322"/>
      <c r="R344" s="322"/>
      <c r="S344" s="322"/>
      <c r="T344" s="322"/>
      <c r="U344" s="322">
        <f t="shared" si="110"/>
        <v>0</v>
      </c>
      <c r="V344" s="248">
        <f t="shared" si="111"/>
        <v>0</v>
      </c>
      <c r="W344" s="35"/>
      <c r="X344" s="247">
        <v>0</v>
      </c>
    </row>
    <row r="345" spans="2:24" ht="12.75" customHeight="1" hidden="1">
      <c r="B345" s="91" t="s">
        <v>401</v>
      </c>
      <c r="C345" s="92" t="s">
        <v>10</v>
      </c>
      <c r="D345" s="93" t="s">
        <v>424</v>
      </c>
      <c r="E345" s="96"/>
      <c r="F345" s="118"/>
      <c r="G345" s="95" t="s">
        <v>425</v>
      </c>
      <c r="H345" s="225">
        <f>SUM(H346:H348)</f>
        <v>0</v>
      </c>
      <c r="I345" s="225">
        <f>SUM(I346:I348)</f>
        <v>0</v>
      </c>
      <c r="J345" s="225">
        <f aca="true" t="shared" si="117" ref="J345:S345">SUM(J346:J348)</f>
        <v>0</v>
      </c>
      <c r="K345" s="225">
        <f t="shared" si="117"/>
        <v>0</v>
      </c>
      <c r="L345" s="225">
        <f t="shared" si="117"/>
        <v>0</v>
      </c>
      <c r="M345" s="225">
        <f t="shared" si="117"/>
        <v>0</v>
      </c>
      <c r="N345" s="225">
        <f>SUM(N346:N348)</f>
        <v>0</v>
      </c>
      <c r="O345" s="225">
        <f t="shared" si="117"/>
        <v>0</v>
      </c>
      <c r="P345" s="225">
        <f t="shared" si="117"/>
        <v>0</v>
      </c>
      <c r="Q345" s="225">
        <f t="shared" si="117"/>
        <v>0</v>
      </c>
      <c r="R345" s="225">
        <f t="shared" si="117"/>
        <v>0</v>
      </c>
      <c r="S345" s="225">
        <f t="shared" si="117"/>
        <v>0</v>
      </c>
      <c r="T345" s="225">
        <f>SUM(T346:T348)</f>
        <v>0</v>
      </c>
      <c r="U345" s="225">
        <f>SUM(U346:U348)</f>
        <v>0</v>
      </c>
      <c r="V345" s="246">
        <f t="shared" si="111"/>
        <v>0</v>
      </c>
      <c r="W345" s="37">
        <f>SUM(W346:W348)</f>
        <v>0</v>
      </c>
      <c r="X345" s="247">
        <v>0</v>
      </c>
    </row>
    <row r="346" spans="2:24" ht="12.75" customHeight="1" hidden="1">
      <c r="B346" s="91"/>
      <c r="C346" s="92"/>
      <c r="D346" s="93"/>
      <c r="E346" s="96" t="s">
        <v>14</v>
      </c>
      <c r="F346" s="118"/>
      <c r="G346" s="98" t="s">
        <v>421</v>
      </c>
      <c r="H346" s="322"/>
      <c r="I346" s="322"/>
      <c r="J346" s="322"/>
      <c r="K346" s="322"/>
      <c r="L346" s="322"/>
      <c r="M346" s="322"/>
      <c r="N346" s="322"/>
      <c r="O346" s="322"/>
      <c r="P346" s="322"/>
      <c r="Q346" s="322"/>
      <c r="R346" s="322"/>
      <c r="S346" s="322"/>
      <c r="T346" s="322"/>
      <c r="U346" s="322">
        <f t="shared" si="110"/>
        <v>0</v>
      </c>
      <c r="V346" s="248">
        <f t="shared" si="111"/>
        <v>0</v>
      </c>
      <c r="W346" s="35"/>
      <c r="X346" s="247">
        <v>0</v>
      </c>
    </row>
    <row r="347" spans="2:24" ht="12.75" customHeight="1" hidden="1">
      <c r="B347" s="91"/>
      <c r="C347" s="92"/>
      <c r="D347" s="93"/>
      <c r="E347" s="96" t="s">
        <v>17</v>
      </c>
      <c r="F347" s="118"/>
      <c r="G347" s="98" t="s">
        <v>422</v>
      </c>
      <c r="H347" s="322"/>
      <c r="I347" s="322"/>
      <c r="J347" s="322"/>
      <c r="K347" s="322"/>
      <c r="L347" s="322"/>
      <c r="M347" s="322"/>
      <c r="N347" s="322"/>
      <c r="O347" s="322"/>
      <c r="P347" s="322"/>
      <c r="Q347" s="322"/>
      <c r="R347" s="322"/>
      <c r="S347" s="322"/>
      <c r="T347" s="322"/>
      <c r="U347" s="322">
        <f t="shared" si="110"/>
        <v>0</v>
      </c>
      <c r="V347" s="248">
        <f t="shared" si="111"/>
        <v>0</v>
      </c>
      <c r="W347" s="35"/>
      <c r="X347" s="247">
        <v>0</v>
      </c>
    </row>
    <row r="348" spans="2:24" ht="12.75" customHeight="1" hidden="1">
      <c r="B348" s="91"/>
      <c r="C348" s="92"/>
      <c r="D348" s="93"/>
      <c r="E348" s="96" t="s">
        <v>22</v>
      </c>
      <c r="F348" s="118"/>
      <c r="G348" s="98" t="s">
        <v>423</v>
      </c>
      <c r="H348" s="322"/>
      <c r="I348" s="322"/>
      <c r="J348" s="322"/>
      <c r="K348" s="322"/>
      <c r="L348" s="322"/>
      <c r="M348" s="322"/>
      <c r="N348" s="322"/>
      <c r="O348" s="322"/>
      <c r="P348" s="322"/>
      <c r="Q348" s="322"/>
      <c r="R348" s="322"/>
      <c r="S348" s="322"/>
      <c r="T348" s="322"/>
      <c r="U348" s="322">
        <f t="shared" si="110"/>
        <v>0</v>
      </c>
      <c r="V348" s="248">
        <f t="shared" si="111"/>
        <v>0</v>
      </c>
      <c r="W348" s="35"/>
      <c r="X348" s="247">
        <v>0</v>
      </c>
    </row>
    <row r="349" spans="2:24" ht="12.75">
      <c r="B349" s="91" t="s">
        <v>401</v>
      </c>
      <c r="C349" s="92" t="s">
        <v>10</v>
      </c>
      <c r="D349" s="93" t="s">
        <v>426</v>
      </c>
      <c r="E349" s="96"/>
      <c r="F349" s="118"/>
      <c r="G349" s="95" t="s">
        <v>427</v>
      </c>
      <c r="H349" s="225">
        <f aca="true" t="shared" si="118" ref="H349:W349">SUM(H350)</f>
        <v>143620000</v>
      </c>
      <c r="I349" s="225">
        <f t="shared" si="118"/>
        <v>2296836</v>
      </c>
      <c r="J349" s="225">
        <f t="shared" si="118"/>
        <v>7729519</v>
      </c>
      <c r="K349" s="225">
        <f t="shared" si="118"/>
        <v>0</v>
      </c>
      <c r="L349" s="225">
        <f t="shared" si="118"/>
        <v>79423793</v>
      </c>
      <c r="M349" s="225">
        <f t="shared" si="118"/>
        <v>38059655</v>
      </c>
      <c r="N349" s="225">
        <f t="shared" si="118"/>
        <v>0</v>
      </c>
      <c r="O349" s="225">
        <f t="shared" si="118"/>
        <v>10618499</v>
      </c>
      <c r="P349" s="225">
        <f t="shared" si="118"/>
        <v>0</v>
      </c>
      <c r="Q349" s="225">
        <f t="shared" si="118"/>
        <v>14170228</v>
      </c>
      <c r="R349" s="225">
        <f t="shared" si="118"/>
        <v>0</v>
      </c>
      <c r="S349" s="225">
        <f t="shared" si="118"/>
        <v>0</v>
      </c>
      <c r="T349" s="225">
        <f t="shared" si="118"/>
        <v>0</v>
      </c>
      <c r="U349" s="225">
        <f t="shared" si="118"/>
        <v>152298530</v>
      </c>
      <c r="V349" s="246">
        <f t="shared" si="111"/>
        <v>-8678530</v>
      </c>
      <c r="W349" s="37">
        <f t="shared" si="118"/>
        <v>10512861</v>
      </c>
      <c r="X349" s="247">
        <f>SUM(U349/H349)*100</f>
        <v>106.04270296616069</v>
      </c>
    </row>
    <row r="350" spans="2:24" ht="12.75">
      <c r="B350" s="91"/>
      <c r="C350" s="92"/>
      <c r="D350" s="93"/>
      <c r="E350" s="96" t="s">
        <v>14</v>
      </c>
      <c r="F350" s="118"/>
      <c r="G350" s="98" t="s">
        <v>428</v>
      </c>
      <c r="H350" s="322">
        <v>143620000</v>
      </c>
      <c r="I350" s="322">
        <v>2296836</v>
      </c>
      <c r="J350" s="322">
        <v>7729519</v>
      </c>
      <c r="K350" s="322">
        <v>0</v>
      </c>
      <c r="L350" s="322">
        <v>79423793</v>
      </c>
      <c r="M350" s="322">
        <v>38059655</v>
      </c>
      <c r="N350" s="322">
        <v>0</v>
      </c>
      <c r="O350" s="322">
        <v>10618499</v>
      </c>
      <c r="P350" s="322">
        <v>0</v>
      </c>
      <c r="Q350" s="322">
        <v>14170228</v>
      </c>
      <c r="R350" s="322">
        <v>0</v>
      </c>
      <c r="S350" s="322">
        <v>0</v>
      </c>
      <c r="T350" s="322">
        <v>0</v>
      </c>
      <c r="U350" s="322">
        <f t="shared" si="110"/>
        <v>152298530</v>
      </c>
      <c r="V350" s="248">
        <f t="shared" si="111"/>
        <v>-8678530</v>
      </c>
      <c r="W350" s="35">
        <v>10512861</v>
      </c>
      <c r="X350" s="247">
        <f>SUM(U350/H350)*100</f>
        <v>106.04270296616069</v>
      </c>
    </row>
    <row r="351" spans="2:24" ht="12.75">
      <c r="B351" s="91" t="s">
        <v>401</v>
      </c>
      <c r="C351" s="92" t="s">
        <v>10</v>
      </c>
      <c r="D351" s="93" t="s">
        <v>429</v>
      </c>
      <c r="E351" s="96"/>
      <c r="F351" s="118"/>
      <c r="G351" s="95" t="s">
        <v>430</v>
      </c>
      <c r="H351" s="322">
        <v>320000</v>
      </c>
      <c r="I351" s="322">
        <v>0</v>
      </c>
      <c r="J351" s="322">
        <v>0</v>
      </c>
      <c r="K351" s="322">
        <v>0</v>
      </c>
      <c r="L351" s="322">
        <v>0</v>
      </c>
      <c r="M351" s="322">
        <v>320000</v>
      </c>
      <c r="N351" s="322">
        <v>0</v>
      </c>
      <c r="O351" s="322">
        <v>0</v>
      </c>
      <c r="P351" s="322">
        <v>0</v>
      </c>
      <c r="Q351" s="322">
        <v>0</v>
      </c>
      <c r="R351" s="322">
        <v>0</v>
      </c>
      <c r="S351" s="322">
        <v>0</v>
      </c>
      <c r="T351" s="322">
        <v>0</v>
      </c>
      <c r="U351" s="322">
        <f t="shared" si="110"/>
        <v>320000</v>
      </c>
      <c r="V351" s="248">
        <f t="shared" si="111"/>
        <v>0</v>
      </c>
      <c r="W351" s="35"/>
      <c r="X351" s="247">
        <f>SUM(U351/H351)*100</f>
        <v>100</v>
      </c>
    </row>
    <row r="352" spans="2:24" ht="12.75">
      <c r="B352" s="91" t="s">
        <v>401</v>
      </c>
      <c r="C352" s="92" t="s">
        <v>10</v>
      </c>
      <c r="D352" s="93" t="s">
        <v>69</v>
      </c>
      <c r="E352" s="96"/>
      <c r="F352" s="118"/>
      <c r="G352" s="95" t="s">
        <v>431</v>
      </c>
      <c r="H352" s="322">
        <v>222090000</v>
      </c>
      <c r="I352" s="322">
        <v>0</v>
      </c>
      <c r="J352" s="322">
        <v>2108159</v>
      </c>
      <c r="K352" s="322">
        <v>0</v>
      </c>
      <c r="L352" s="322">
        <v>40000000</v>
      </c>
      <c r="M352" s="322">
        <v>29704464</v>
      </c>
      <c r="N352" s="322">
        <v>10984314</v>
      </c>
      <c r="O352" s="322">
        <v>125940806</v>
      </c>
      <c r="P352" s="322">
        <v>8915375</v>
      </c>
      <c r="Q352" s="322">
        <v>4900417</v>
      </c>
      <c r="R352" s="322">
        <v>0</v>
      </c>
      <c r="S352" s="322">
        <v>0</v>
      </c>
      <c r="T352" s="322">
        <v>0</v>
      </c>
      <c r="U352" s="322">
        <f t="shared" si="110"/>
        <v>222553535</v>
      </c>
      <c r="V352" s="248">
        <f t="shared" si="111"/>
        <v>-463535</v>
      </c>
      <c r="W352" s="35"/>
      <c r="X352" s="247">
        <f>SUM(U352/H352)*100</f>
        <v>100.20871493538654</v>
      </c>
    </row>
    <row r="353" spans="2:24" ht="12.75" customHeight="1" hidden="1">
      <c r="B353" s="91" t="s">
        <v>401</v>
      </c>
      <c r="C353" s="92" t="s">
        <v>10</v>
      </c>
      <c r="D353" s="93" t="s">
        <v>71</v>
      </c>
      <c r="E353" s="96"/>
      <c r="F353" s="118"/>
      <c r="G353" s="95" t="s">
        <v>432</v>
      </c>
      <c r="H353" s="225">
        <v>0</v>
      </c>
      <c r="I353" s="225">
        <v>0</v>
      </c>
      <c r="J353" s="225">
        <v>0</v>
      </c>
      <c r="K353" s="225">
        <v>0</v>
      </c>
      <c r="L353" s="225">
        <v>0</v>
      </c>
      <c r="M353" s="225">
        <v>0</v>
      </c>
      <c r="N353" s="225">
        <v>0</v>
      </c>
      <c r="O353" s="225">
        <v>0</v>
      </c>
      <c r="P353" s="225">
        <v>0</v>
      </c>
      <c r="Q353" s="225">
        <v>0</v>
      </c>
      <c r="R353" s="225">
        <v>0</v>
      </c>
      <c r="S353" s="225">
        <v>0</v>
      </c>
      <c r="T353" s="34">
        <v>0</v>
      </c>
      <c r="U353" s="225">
        <f>SUM(U354:U356)</f>
        <v>0</v>
      </c>
      <c r="V353" s="246">
        <f t="shared" si="111"/>
        <v>0</v>
      </c>
      <c r="W353" s="37">
        <f>SUM(W354:W356)</f>
        <v>0</v>
      </c>
      <c r="X353" s="247">
        <v>0</v>
      </c>
    </row>
    <row r="354" spans="2:24" ht="12.75" customHeight="1" hidden="1">
      <c r="B354" s="91"/>
      <c r="C354" s="92"/>
      <c r="D354" s="93"/>
      <c r="E354" s="96" t="s">
        <v>14</v>
      </c>
      <c r="F354" s="118"/>
      <c r="G354" s="98" t="s">
        <v>433</v>
      </c>
      <c r="H354" s="322"/>
      <c r="I354" s="322"/>
      <c r="J354" s="322"/>
      <c r="K354" s="322"/>
      <c r="L354" s="322"/>
      <c r="M354" s="322"/>
      <c r="N354" s="322"/>
      <c r="O354" s="322"/>
      <c r="P354" s="322"/>
      <c r="Q354" s="322"/>
      <c r="R354" s="322"/>
      <c r="S354" s="322"/>
      <c r="T354" s="328"/>
      <c r="U354" s="322">
        <f t="shared" si="110"/>
        <v>0</v>
      </c>
      <c r="V354" s="248">
        <f t="shared" si="111"/>
        <v>0</v>
      </c>
      <c r="W354" s="35"/>
      <c r="X354" s="247">
        <v>0</v>
      </c>
    </row>
    <row r="355" spans="2:24" ht="12.75" customHeight="1" hidden="1">
      <c r="B355" s="91"/>
      <c r="C355" s="92"/>
      <c r="D355" s="93"/>
      <c r="E355" s="96" t="s">
        <v>17</v>
      </c>
      <c r="F355" s="118"/>
      <c r="G355" s="98" t="s">
        <v>434</v>
      </c>
      <c r="H355" s="322"/>
      <c r="I355" s="322"/>
      <c r="J355" s="322"/>
      <c r="K355" s="322"/>
      <c r="L355" s="322"/>
      <c r="M355" s="322"/>
      <c r="N355" s="322"/>
      <c r="O355" s="322"/>
      <c r="P355" s="322"/>
      <c r="Q355" s="322"/>
      <c r="R355" s="322"/>
      <c r="S355" s="322"/>
      <c r="T355" s="328"/>
      <c r="U355" s="322">
        <f t="shared" si="110"/>
        <v>0</v>
      </c>
      <c r="V355" s="248">
        <f t="shared" si="111"/>
        <v>0</v>
      </c>
      <c r="W355" s="35"/>
      <c r="X355" s="247">
        <v>0</v>
      </c>
    </row>
    <row r="356" spans="2:24" ht="12.75" customHeight="1" hidden="1">
      <c r="B356" s="109"/>
      <c r="C356" s="110"/>
      <c r="D356" s="93"/>
      <c r="E356" s="106" t="s">
        <v>22</v>
      </c>
      <c r="F356" s="151"/>
      <c r="G356" s="107" t="s">
        <v>435</v>
      </c>
      <c r="H356" s="322"/>
      <c r="I356" s="322"/>
      <c r="J356" s="322"/>
      <c r="K356" s="322"/>
      <c r="L356" s="322"/>
      <c r="M356" s="322"/>
      <c r="N356" s="322"/>
      <c r="O356" s="322"/>
      <c r="P356" s="322"/>
      <c r="Q356" s="322"/>
      <c r="R356" s="322"/>
      <c r="S356" s="322"/>
      <c r="T356" s="328"/>
      <c r="U356" s="322">
        <f t="shared" si="110"/>
        <v>0</v>
      </c>
      <c r="V356" s="248">
        <f t="shared" si="111"/>
        <v>0</v>
      </c>
      <c r="W356" s="35"/>
      <c r="X356" s="247">
        <v>0</v>
      </c>
    </row>
    <row r="357" spans="2:24" ht="12.75" customHeight="1" hidden="1">
      <c r="B357" s="86">
        <v>24</v>
      </c>
      <c r="C357" s="87" t="s">
        <v>73</v>
      </c>
      <c r="D357" s="134"/>
      <c r="E357" s="135"/>
      <c r="F357" s="136"/>
      <c r="G357" s="90" t="s">
        <v>436</v>
      </c>
      <c r="H357" s="324"/>
      <c r="I357" s="324"/>
      <c r="J357" s="324"/>
      <c r="K357" s="324"/>
      <c r="L357" s="324"/>
      <c r="M357" s="324"/>
      <c r="N357" s="324"/>
      <c r="O357" s="324"/>
      <c r="P357" s="324"/>
      <c r="Q357" s="324"/>
      <c r="R357" s="324"/>
      <c r="S357" s="324"/>
      <c r="T357" s="330"/>
      <c r="U357" s="325">
        <f t="shared" si="110"/>
        <v>0</v>
      </c>
      <c r="V357" s="255">
        <f t="shared" si="111"/>
        <v>0</v>
      </c>
      <c r="W357" s="253"/>
      <c r="X357" s="245">
        <v>0</v>
      </c>
    </row>
    <row r="358" spans="2:24" ht="12.75" customHeight="1" hidden="1">
      <c r="B358" s="86">
        <v>24</v>
      </c>
      <c r="C358" s="87" t="s">
        <v>42</v>
      </c>
      <c r="D358" s="134"/>
      <c r="E358" s="135"/>
      <c r="F358" s="136"/>
      <c r="G358" s="90" t="s">
        <v>437</v>
      </c>
      <c r="H358" s="324"/>
      <c r="I358" s="324"/>
      <c r="J358" s="324"/>
      <c r="K358" s="324"/>
      <c r="L358" s="324"/>
      <c r="M358" s="324"/>
      <c r="N358" s="324"/>
      <c r="O358" s="324"/>
      <c r="P358" s="324"/>
      <c r="Q358" s="324"/>
      <c r="R358" s="324"/>
      <c r="S358" s="324"/>
      <c r="T358" s="330"/>
      <c r="U358" s="325">
        <f t="shared" si="110"/>
        <v>0</v>
      </c>
      <c r="V358" s="255">
        <f t="shared" si="111"/>
        <v>0</v>
      </c>
      <c r="W358" s="253"/>
      <c r="X358" s="245">
        <v>0</v>
      </c>
    </row>
    <row r="359" spans="2:24" ht="12.75" customHeight="1" hidden="1">
      <c r="B359" s="86">
        <v>24</v>
      </c>
      <c r="C359" s="87" t="s">
        <v>76</v>
      </c>
      <c r="D359" s="134"/>
      <c r="E359" s="135"/>
      <c r="F359" s="136"/>
      <c r="G359" s="90" t="s">
        <v>438</v>
      </c>
      <c r="H359" s="324"/>
      <c r="I359" s="324"/>
      <c r="J359" s="324"/>
      <c r="K359" s="324"/>
      <c r="L359" s="324"/>
      <c r="M359" s="324"/>
      <c r="N359" s="324"/>
      <c r="O359" s="324"/>
      <c r="P359" s="324"/>
      <c r="Q359" s="324"/>
      <c r="R359" s="324"/>
      <c r="S359" s="324"/>
      <c r="T359" s="330"/>
      <c r="U359" s="325">
        <f t="shared" si="110"/>
        <v>0</v>
      </c>
      <c r="V359" s="255">
        <f t="shared" si="111"/>
        <v>0</v>
      </c>
      <c r="W359" s="253"/>
      <c r="X359" s="245">
        <v>0</v>
      </c>
    </row>
    <row r="360" spans="2:24" ht="12.75" customHeight="1" hidden="1">
      <c r="B360" s="86">
        <v>24</v>
      </c>
      <c r="C360" s="87" t="s">
        <v>78</v>
      </c>
      <c r="D360" s="134"/>
      <c r="E360" s="135"/>
      <c r="F360" s="136"/>
      <c r="G360" s="90" t="s">
        <v>439</v>
      </c>
      <c r="H360" s="324">
        <v>0</v>
      </c>
      <c r="I360" s="324"/>
      <c r="J360" s="324"/>
      <c r="K360" s="324"/>
      <c r="L360" s="324"/>
      <c r="M360" s="324"/>
      <c r="N360" s="324"/>
      <c r="O360" s="324"/>
      <c r="P360" s="324"/>
      <c r="Q360" s="324"/>
      <c r="R360" s="324"/>
      <c r="S360" s="324"/>
      <c r="T360" s="330"/>
      <c r="U360" s="325">
        <f t="shared" si="110"/>
        <v>0</v>
      </c>
      <c r="V360" s="255">
        <f t="shared" si="111"/>
        <v>0</v>
      </c>
      <c r="W360" s="253"/>
      <c r="X360" s="245" t="e">
        <f>SUM(U360/H360)*100</f>
        <v>#DIV/0!</v>
      </c>
    </row>
    <row r="361" spans="2:24" ht="12.75">
      <c r="B361" s="91"/>
      <c r="C361" s="147"/>
      <c r="D361" s="93"/>
      <c r="E361" s="129"/>
      <c r="F361" s="118"/>
      <c r="G361" s="98"/>
      <c r="H361" s="225"/>
      <c r="I361" s="225"/>
      <c r="J361" s="225"/>
      <c r="K361" s="225"/>
      <c r="L361" s="225"/>
      <c r="M361" s="225"/>
      <c r="N361" s="225"/>
      <c r="O361" s="225"/>
      <c r="P361" s="225"/>
      <c r="Q361" s="225"/>
      <c r="R361" s="225"/>
      <c r="S361" s="225"/>
      <c r="T361" s="34"/>
      <c r="U361" s="225"/>
      <c r="V361" s="246"/>
      <c r="W361" s="37"/>
      <c r="X361" s="247"/>
    </row>
    <row r="362" spans="2:24" ht="12.75">
      <c r="B362" s="148">
        <v>25</v>
      </c>
      <c r="C362" s="143"/>
      <c r="D362" s="83"/>
      <c r="E362" s="152"/>
      <c r="F362" s="145"/>
      <c r="G362" s="85" t="s">
        <v>440</v>
      </c>
      <c r="H362" s="323">
        <f aca="true" t="shared" si="119" ref="H362:W362">SUM(H363)</f>
        <v>12000000</v>
      </c>
      <c r="I362" s="323">
        <f t="shared" si="119"/>
        <v>924773</v>
      </c>
      <c r="J362" s="323">
        <f t="shared" si="119"/>
        <v>3498073</v>
      </c>
      <c r="K362" s="323">
        <f t="shared" si="119"/>
        <v>1524867</v>
      </c>
      <c r="L362" s="323">
        <f t="shared" si="119"/>
        <v>166451</v>
      </c>
      <c r="M362" s="323">
        <f t="shared" si="119"/>
        <v>168763</v>
      </c>
      <c r="N362" s="323">
        <f t="shared" si="119"/>
        <v>187462</v>
      </c>
      <c r="O362" s="323">
        <f t="shared" si="119"/>
        <v>281489</v>
      </c>
      <c r="P362" s="323">
        <f t="shared" si="119"/>
        <v>147607</v>
      </c>
      <c r="Q362" s="323">
        <f t="shared" si="119"/>
        <v>93404</v>
      </c>
      <c r="R362" s="323">
        <f t="shared" si="119"/>
        <v>0</v>
      </c>
      <c r="S362" s="323">
        <f t="shared" si="119"/>
        <v>0</v>
      </c>
      <c r="T362" s="329">
        <f t="shared" si="119"/>
        <v>0</v>
      </c>
      <c r="U362" s="323">
        <f t="shared" si="119"/>
        <v>6992889</v>
      </c>
      <c r="V362" s="251">
        <f>H362-U362</f>
        <v>5007111</v>
      </c>
      <c r="W362" s="237">
        <f t="shared" si="119"/>
        <v>0</v>
      </c>
      <c r="X362" s="252">
        <f>SUM(U362/H362)*100</f>
        <v>58.274075</v>
      </c>
    </row>
    <row r="363" spans="2:24" ht="12.75">
      <c r="B363" s="146">
        <v>25</v>
      </c>
      <c r="C363" s="87" t="s">
        <v>12</v>
      </c>
      <c r="D363" s="134"/>
      <c r="E363" s="135"/>
      <c r="F363" s="136"/>
      <c r="G363" s="90" t="s">
        <v>441</v>
      </c>
      <c r="H363" s="325">
        <v>12000000</v>
      </c>
      <c r="I363" s="325">
        <v>924773</v>
      </c>
      <c r="J363" s="325">
        <v>3498073</v>
      </c>
      <c r="K363" s="325">
        <v>1524867</v>
      </c>
      <c r="L363" s="325">
        <v>166451</v>
      </c>
      <c r="M363" s="325">
        <v>168763</v>
      </c>
      <c r="N363" s="325">
        <v>187462</v>
      </c>
      <c r="O363" s="325">
        <v>281489</v>
      </c>
      <c r="P363" s="325">
        <v>147607</v>
      </c>
      <c r="Q363" s="325">
        <v>93404</v>
      </c>
      <c r="R363" s="325">
        <v>0</v>
      </c>
      <c r="S363" s="325">
        <v>0</v>
      </c>
      <c r="T363" s="325">
        <v>0</v>
      </c>
      <c r="U363" s="325">
        <f>SUM(I363:T363)</f>
        <v>6992889</v>
      </c>
      <c r="V363" s="255">
        <f>H363-U363</f>
        <v>5007111</v>
      </c>
      <c r="W363" s="253"/>
      <c r="X363" s="245">
        <f>SUM(U363/H363)*100</f>
        <v>58.274075</v>
      </c>
    </row>
    <row r="364" spans="2:24" ht="12.75">
      <c r="B364" s="140"/>
      <c r="C364" s="92"/>
      <c r="D364" s="142"/>
      <c r="E364" s="141"/>
      <c r="F364" s="149"/>
      <c r="G364" s="95"/>
      <c r="H364" s="225"/>
      <c r="I364" s="225"/>
      <c r="J364" s="225"/>
      <c r="K364" s="225"/>
      <c r="L364" s="225"/>
      <c r="M364" s="225"/>
      <c r="N364" s="225"/>
      <c r="O364" s="225"/>
      <c r="P364" s="225"/>
      <c r="Q364" s="225"/>
      <c r="R364" s="225"/>
      <c r="S364" s="225"/>
      <c r="T364" s="34"/>
      <c r="U364" s="225"/>
      <c r="V364" s="38"/>
      <c r="W364" s="37"/>
      <c r="X364" s="247"/>
    </row>
    <row r="365" spans="2:24" ht="13.5" thickBot="1">
      <c r="B365" s="148">
        <v>26</v>
      </c>
      <c r="C365" s="153"/>
      <c r="D365" s="83"/>
      <c r="E365" s="143"/>
      <c r="F365" s="145"/>
      <c r="G365" s="85" t="s">
        <v>442</v>
      </c>
      <c r="H365" s="323">
        <f>SUM(H366+H367+H368)</f>
        <v>135577000</v>
      </c>
      <c r="I365" s="323">
        <f>SUM(I366+I367+I368)</f>
        <v>346040</v>
      </c>
      <c r="J365" s="323">
        <f aca="true" t="shared" si="120" ref="J365:S365">SUM(J366+J367+J368)</f>
        <v>2755053</v>
      </c>
      <c r="K365" s="323">
        <f t="shared" si="120"/>
        <v>43874226</v>
      </c>
      <c r="L365" s="323">
        <f t="shared" si="120"/>
        <v>6326720</v>
      </c>
      <c r="M365" s="323">
        <f t="shared" si="120"/>
        <v>30004742</v>
      </c>
      <c r="N365" s="323">
        <f>SUM(N366+N367+N368)</f>
        <v>6212354</v>
      </c>
      <c r="O365" s="323">
        <f t="shared" si="120"/>
        <v>2362029</v>
      </c>
      <c r="P365" s="323">
        <f t="shared" si="120"/>
        <v>23877625</v>
      </c>
      <c r="Q365" s="323">
        <f t="shared" si="120"/>
        <v>5891040</v>
      </c>
      <c r="R365" s="323">
        <f t="shared" si="120"/>
        <v>0</v>
      </c>
      <c r="S365" s="323">
        <f t="shared" si="120"/>
        <v>0</v>
      </c>
      <c r="T365" s="329">
        <f>SUM(T366+T367+T368)</f>
        <v>0</v>
      </c>
      <c r="U365" s="323">
        <f>SUM(U366+U367+U368)</f>
        <v>121649829</v>
      </c>
      <c r="V365" s="251">
        <f aca="true" t="shared" si="121" ref="V365:V370">H365-U365</f>
        <v>13927171</v>
      </c>
      <c r="W365" s="237">
        <f>SUM(W366+W367+W368)</f>
        <v>0</v>
      </c>
      <c r="X365" s="252">
        <f>SUM(U365/H365)*100</f>
        <v>89.72748253759856</v>
      </c>
    </row>
    <row r="366" spans="2:24" ht="13.5" thickBot="1">
      <c r="B366" s="146" t="s">
        <v>443</v>
      </c>
      <c r="C366" s="154" t="s">
        <v>12</v>
      </c>
      <c r="D366" s="88"/>
      <c r="E366" s="87"/>
      <c r="F366" s="89"/>
      <c r="G366" s="90" t="s">
        <v>444</v>
      </c>
      <c r="H366" s="325">
        <v>65221000</v>
      </c>
      <c r="I366" s="325">
        <v>346040</v>
      </c>
      <c r="J366" s="325">
        <v>382463</v>
      </c>
      <c r="K366" s="325">
        <v>43224226</v>
      </c>
      <c r="L366" s="325">
        <v>3226720</v>
      </c>
      <c r="M366" s="325">
        <v>1372442</v>
      </c>
      <c r="N366" s="325">
        <v>973354</v>
      </c>
      <c r="O366" s="325">
        <v>601629</v>
      </c>
      <c r="P366" s="325">
        <v>2794925</v>
      </c>
      <c r="Q366" s="325">
        <v>3873010</v>
      </c>
      <c r="R366" s="325">
        <v>0</v>
      </c>
      <c r="S366" s="325">
        <v>0</v>
      </c>
      <c r="T366" s="325">
        <v>0</v>
      </c>
      <c r="U366" s="325">
        <f>SUM(I366:T366)</f>
        <v>56794809</v>
      </c>
      <c r="V366" s="256">
        <f t="shared" si="121"/>
        <v>8426191</v>
      </c>
      <c r="W366" s="254">
        <v>0</v>
      </c>
      <c r="X366" s="245">
        <f>SUM(U366/H366)*100</f>
        <v>87.08055534260437</v>
      </c>
    </row>
    <row r="367" spans="2:24" ht="12.75">
      <c r="B367" s="146">
        <v>26</v>
      </c>
      <c r="C367" s="155" t="s">
        <v>35</v>
      </c>
      <c r="D367" s="134"/>
      <c r="E367" s="156"/>
      <c r="F367" s="157"/>
      <c r="G367" s="90" t="s">
        <v>445</v>
      </c>
      <c r="H367" s="325">
        <v>45000000</v>
      </c>
      <c r="I367" s="325">
        <v>0</v>
      </c>
      <c r="J367" s="325">
        <v>1235890</v>
      </c>
      <c r="K367" s="325">
        <v>650000</v>
      </c>
      <c r="L367" s="325">
        <v>3100000</v>
      </c>
      <c r="M367" s="325">
        <v>15000000</v>
      </c>
      <c r="N367" s="325">
        <v>1000000</v>
      </c>
      <c r="O367" s="325">
        <v>0</v>
      </c>
      <c r="P367" s="325">
        <v>20000000</v>
      </c>
      <c r="Q367" s="325">
        <v>750000</v>
      </c>
      <c r="R367" s="325">
        <v>0</v>
      </c>
      <c r="S367" s="325">
        <v>0</v>
      </c>
      <c r="T367" s="325">
        <v>0</v>
      </c>
      <c r="U367" s="325">
        <f>SUM(I367:T367)</f>
        <v>41735890</v>
      </c>
      <c r="V367" s="256">
        <f t="shared" si="121"/>
        <v>3264110</v>
      </c>
      <c r="W367" s="254">
        <v>0</v>
      </c>
      <c r="X367" s="245">
        <f>SUM(U367/H367)*100</f>
        <v>92.74642222222222</v>
      </c>
    </row>
    <row r="368" spans="2:24" ht="12.75">
      <c r="B368" s="146">
        <v>26</v>
      </c>
      <c r="C368" s="87" t="s">
        <v>73</v>
      </c>
      <c r="D368" s="134"/>
      <c r="E368" s="135"/>
      <c r="F368" s="136"/>
      <c r="G368" s="90" t="s">
        <v>446</v>
      </c>
      <c r="H368" s="226">
        <f>SUM(H369:H370)</f>
        <v>25356000</v>
      </c>
      <c r="I368" s="226">
        <f>SUM(I369:I370)</f>
        <v>0</v>
      </c>
      <c r="J368" s="226">
        <f aca="true" t="shared" si="122" ref="J368:S368">SUM(J369:J370)</f>
        <v>1136700</v>
      </c>
      <c r="K368" s="226">
        <f t="shared" si="122"/>
        <v>0</v>
      </c>
      <c r="L368" s="226">
        <f t="shared" si="122"/>
        <v>0</v>
      </c>
      <c r="M368" s="226">
        <f t="shared" si="122"/>
        <v>13632300</v>
      </c>
      <c r="N368" s="226">
        <f>SUM(N369:N370)</f>
        <v>4239000</v>
      </c>
      <c r="O368" s="226">
        <f t="shared" si="122"/>
        <v>1760400</v>
      </c>
      <c r="P368" s="226">
        <f t="shared" si="122"/>
        <v>1082700</v>
      </c>
      <c r="Q368" s="226">
        <f t="shared" si="122"/>
        <v>1268030</v>
      </c>
      <c r="R368" s="226">
        <f t="shared" si="122"/>
        <v>0</v>
      </c>
      <c r="S368" s="226">
        <f t="shared" si="122"/>
        <v>0</v>
      </c>
      <c r="T368" s="226">
        <f>SUM(T369:T370)</f>
        <v>0</v>
      </c>
      <c r="U368" s="226">
        <f>SUM(U369:U370)</f>
        <v>23119130</v>
      </c>
      <c r="V368" s="243">
        <f t="shared" si="121"/>
        <v>2236870</v>
      </c>
      <c r="W368" s="241">
        <f>SUM(W369:W370)</f>
        <v>0</v>
      </c>
      <c r="X368" s="245">
        <f>SUM(U368/H368)*100</f>
        <v>91.17814324025872</v>
      </c>
    </row>
    <row r="369" spans="2:24" ht="12.75">
      <c r="B369" s="91" t="s">
        <v>443</v>
      </c>
      <c r="C369" s="92" t="s">
        <v>73</v>
      </c>
      <c r="D369" s="93" t="s">
        <v>14</v>
      </c>
      <c r="E369" s="129"/>
      <c r="F369" s="118"/>
      <c r="G369" s="158" t="s">
        <v>108</v>
      </c>
      <c r="H369" s="322">
        <v>25356000</v>
      </c>
      <c r="I369" s="322">
        <v>0</v>
      </c>
      <c r="J369" s="322">
        <v>1136700</v>
      </c>
      <c r="K369" s="322">
        <v>0</v>
      </c>
      <c r="L369" s="322">
        <v>0</v>
      </c>
      <c r="M369" s="322">
        <v>13632300</v>
      </c>
      <c r="N369" s="322">
        <v>4239000</v>
      </c>
      <c r="O369" s="322">
        <v>1760400</v>
      </c>
      <c r="P369" s="322">
        <v>1082700</v>
      </c>
      <c r="Q369" s="322">
        <v>1268030</v>
      </c>
      <c r="R369" s="322">
        <v>0</v>
      </c>
      <c r="S369" s="322">
        <v>0</v>
      </c>
      <c r="T369" s="322">
        <v>0</v>
      </c>
      <c r="U369" s="322">
        <f>SUM(I369:T369)</f>
        <v>23119130</v>
      </c>
      <c r="V369" s="36">
        <f t="shared" si="121"/>
        <v>2236870</v>
      </c>
      <c r="W369" s="35"/>
      <c r="X369" s="247">
        <f>SUM(U369/H369)*100</f>
        <v>91.17814324025872</v>
      </c>
    </row>
    <row r="370" spans="2:24" ht="12.75" customHeight="1" hidden="1">
      <c r="B370" s="91" t="s">
        <v>443</v>
      </c>
      <c r="C370" s="92" t="s">
        <v>73</v>
      </c>
      <c r="D370" s="93" t="s">
        <v>30</v>
      </c>
      <c r="E370" s="129"/>
      <c r="F370" s="118"/>
      <c r="G370" s="158" t="s">
        <v>447</v>
      </c>
      <c r="H370" s="322">
        <v>0</v>
      </c>
      <c r="I370" s="322">
        <v>0</v>
      </c>
      <c r="J370" s="322">
        <v>0</v>
      </c>
      <c r="K370" s="322">
        <v>0</v>
      </c>
      <c r="L370" s="322">
        <v>0</v>
      </c>
      <c r="M370" s="322">
        <v>0</v>
      </c>
      <c r="N370" s="322">
        <v>0</v>
      </c>
      <c r="O370" s="322">
        <v>0</v>
      </c>
      <c r="P370" s="322">
        <v>0</v>
      </c>
      <c r="Q370" s="322">
        <v>0</v>
      </c>
      <c r="R370" s="322">
        <v>0</v>
      </c>
      <c r="S370" s="322">
        <v>0</v>
      </c>
      <c r="T370" s="328">
        <v>0</v>
      </c>
      <c r="U370" s="322">
        <f>SUM(I370:T370)</f>
        <v>0</v>
      </c>
      <c r="V370" s="36">
        <f t="shared" si="121"/>
        <v>0</v>
      </c>
      <c r="W370" s="35"/>
      <c r="X370" s="247">
        <v>0</v>
      </c>
    </row>
    <row r="371" spans="2:24" ht="12.75">
      <c r="B371" s="140"/>
      <c r="C371" s="92"/>
      <c r="D371" s="142"/>
      <c r="E371" s="129"/>
      <c r="F371" s="118"/>
      <c r="G371" s="98"/>
      <c r="H371" s="225"/>
      <c r="I371" s="225"/>
      <c r="J371" s="225"/>
      <c r="K371" s="225"/>
      <c r="L371" s="225"/>
      <c r="M371" s="225"/>
      <c r="N371" s="225"/>
      <c r="O371" s="225"/>
      <c r="P371" s="225"/>
      <c r="Q371" s="225"/>
      <c r="R371" s="225"/>
      <c r="S371" s="225"/>
      <c r="T371" s="34"/>
      <c r="U371" s="322"/>
      <c r="V371" s="38"/>
      <c r="W371" s="37"/>
      <c r="X371" s="247"/>
    </row>
    <row r="372" spans="2:24" ht="12.75">
      <c r="B372" s="148">
        <v>29</v>
      </c>
      <c r="C372" s="82"/>
      <c r="D372" s="144"/>
      <c r="E372" s="143"/>
      <c r="F372" s="145"/>
      <c r="G372" s="85" t="s">
        <v>448</v>
      </c>
      <c r="H372" s="323">
        <f>SUM(H373+H374+H375+H376+H377+H381+H384+H387)</f>
        <v>346661000</v>
      </c>
      <c r="I372" s="323">
        <f>SUM(I373+I374+I375+I376+I377+I381+I384+I387)</f>
        <v>200298</v>
      </c>
      <c r="J372" s="323">
        <f aca="true" t="shared" si="123" ref="J372:S372">SUM(J373+J374+J375+J376+J377+J381+J384+J387)</f>
        <v>3722275</v>
      </c>
      <c r="K372" s="323">
        <f t="shared" si="123"/>
        <v>13143500</v>
      </c>
      <c r="L372" s="323">
        <f t="shared" si="123"/>
        <v>4488555</v>
      </c>
      <c r="M372" s="323">
        <f t="shared" si="123"/>
        <v>23867745</v>
      </c>
      <c r="N372" s="323">
        <f>SUM(N373+N374+N375+N376+N377+N381+N384+N387)</f>
        <v>33709096</v>
      </c>
      <c r="O372" s="323">
        <f t="shared" si="123"/>
        <v>26747120</v>
      </c>
      <c r="P372" s="323">
        <f t="shared" si="123"/>
        <v>48047516</v>
      </c>
      <c r="Q372" s="323">
        <f t="shared" si="123"/>
        <v>102681778</v>
      </c>
      <c r="R372" s="323">
        <f t="shared" si="123"/>
        <v>0</v>
      </c>
      <c r="S372" s="323">
        <f t="shared" si="123"/>
        <v>0</v>
      </c>
      <c r="T372" s="329">
        <f>SUM(T373+T374+T375+T376+T377+T381+T384+T387)</f>
        <v>0</v>
      </c>
      <c r="U372" s="323">
        <f>SUM(U373+U374+U375+U376+U377+U381+U384+U387)</f>
        <v>256607883</v>
      </c>
      <c r="V372" s="251">
        <f aca="true" t="shared" si="124" ref="V372:V403">H372-U372</f>
        <v>90053117</v>
      </c>
      <c r="W372" s="237">
        <f>SUM(W373+W374+W375+W376+W377+W381+W384+W387)</f>
        <v>0</v>
      </c>
      <c r="X372" s="252">
        <f>SUM(U372/H372)*100</f>
        <v>74.02271469822102</v>
      </c>
    </row>
    <row r="373" spans="2:24" ht="12.75">
      <c r="B373" s="146">
        <v>29</v>
      </c>
      <c r="C373" s="87" t="s">
        <v>12</v>
      </c>
      <c r="D373" s="134"/>
      <c r="E373" s="135"/>
      <c r="F373" s="136"/>
      <c r="G373" s="90" t="s">
        <v>114</v>
      </c>
      <c r="H373" s="324">
        <v>0</v>
      </c>
      <c r="I373" s="324">
        <v>0</v>
      </c>
      <c r="J373" s="324">
        <v>0</v>
      </c>
      <c r="K373" s="324">
        <v>0</v>
      </c>
      <c r="L373" s="324">
        <v>0</v>
      </c>
      <c r="M373" s="324">
        <v>0</v>
      </c>
      <c r="N373" s="324">
        <v>0</v>
      </c>
      <c r="O373" s="324">
        <v>0</v>
      </c>
      <c r="P373" s="324">
        <v>0</v>
      </c>
      <c r="Q373" s="324">
        <v>0</v>
      </c>
      <c r="R373" s="324">
        <v>0</v>
      </c>
      <c r="S373" s="324">
        <v>0</v>
      </c>
      <c r="T373" s="324">
        <v>0</v>
      </c>
      <c r="U373" s="325">
        <f>SUM(I373:T373)</f>
        <v>0</v>
      </c>
      <c r="V373" s="255">
        <f t="shared" si="124"/>
        <v>0</v>
      </c>
      <c r="W373" s="253"/>
      <c r="X373" s="245" t="e">
        <f>SUM(U373/H373)*100</f>
        <v>#DIV/0!</v>
      </c>
    </row>
    <row r="374" spans="2:24" ht="12.75">
      <c r="B374" s="146">
        <v>29</v>
      </c>
      <c r="C374" s="87" t="s">
        <v>35</v>
      </c>
      <c r="D374" s="134"/>
      <c r="E374" s="135"/>
      <c r="F374" s="136"/>
      <c r="G374" s="90" t="s">
        <v>115</v>
      </c>
      <c r="H374" s="324">
        <v>116000000</v>
      </c>
      <c r="I374" s="324">
        <v>0</v>
      </c>
      <c r="J374" s="324">
        <v>0</v>
      </c>
      <c r="K374" s="324">
        <v>3474800</v>
      </c>
      <c r="L374" s="324">
        <v>0</v>
      </c>
      <c r="M374" s="324">
        <v>0</v>
      </c>
      <c r="N374" s="324">
        <v>0</v>
      </c>
      <c r="O374" s="324">
        <v>0</v>
      </c>
      <c r="P374" s="324">
        <v>0</v>
      </c>
      <c r="Q374" s="324">
        <v>93900000</v>
      </c>
      <c r="R374" s="324">
        <v>0</v>
      </c>
      <c r="S374" s="324">
        <v>0</v>
      </c>
      <c r="T374" s="324">
        <v>0</v>
      </c>
      <c r="U374" s="325">
        <f>SUM(I374:T374)</f>
        <v>97374800</v>
      </c>
      <c r="V374" s="255">
        <f t="shared" si="124"/>
        <v>18625200</v>
      </c>
      <c r="W374" s="253">
        <v>0</v>
      </c>
      <c r="X374" s="245">
        <v>0</v>
      </c>
    </row>
    <row r="375" spans="2:24" ht="12.75">
      <c r="B375" s="146">
        <v>29</v>
      </c>
      <c r="C375" s="87" t="s">
        <v>10</v>
      </c>
      <c r="D375" s="134"/>
      <c r="E375" s="135"/>
      <c r="F375" s="136"/>
      <c r="G375" s="90" t="s">
        <v>116</v>
      </c>
      <c r="H375" s="324">
        <v>61000000</v>
      </c>
      <c r="I375" s="324">
        <v>0</v>
      </c>
      <c r="J375" s="324">
        <v>0</v>
      </c>
      <c r="K375" s="324">
        <v>0</v>
      </c>
      <c r="L375" s="324">
        <v>0</v>
      </c>
      <c r="M375" s="324">
        <v>0</v>
      </c>
      <c r="N375" s="324">
        <v>0</v>
      </c>
      <c r="O375" s="324">
        <v>0</v>
      </c>
      <c r="P375" s="324">
        <v>35845815</v>
      </c>
      <c r="Q375" s="324">
        <v>0</v>
      </c>
      <c r="R375" s="324">
        <v>0</v>
      </c>
      <c r="S375" s="324">
        <v>0</v>
      </c>
      <c r="T375" s="324">
        <v>0</v>
      </c>
      <c r="U375" s="325">
        <f>SUM(I375:T375)</f>
        <v>35845815</v>
      </c>
      <c r="V375" s="255">
        <f t="shared" si="124"/>
        <v>25154185</v>
      </c>
      <c r="W375" s="253"/>
      <c r="X375" s="245">
        <f aca="true" t="shared" si="125" ref="X375:X387">SUM(U375/H375)*100</f>
        <v>58.763631147540984</v>
      </c>
    </row>
    <row r="376" spans="2:24" ht="12.75">
      <c r="B376" s="146">
        <v>29</v>
      </c>
      <c r="C376" s="87" t="s">
        <v>73</v>
      </c>
      <c r="D376" s="134"/>
      <c r="E376" s="135"/>
      <c r="F376" s="136"/>
      <c r="G376" s="90" t="s">
        <v>117</v>
      </c>
      <c r="H376" s="324">
        <v>93729000</v>
      </c>
      <c r="I376" s="324">
        <v>177418</v>
      </c>
      <c r="J376" s="324">
        <v>3232352</v>
      </c>
      <c r="K376" s="324">
        <v>2415789</v>
      </c>
      <c r="L376" s="324">
        <v>0</v>
      </c>
      <c r="M376" s="324">
        <f>2006825+17764393</f>
        <v>19771218</v>
      </c>
      <c r="N376" s="324">
        <f>2194360+30035234</f>
        <v>32229594</v>
      </c>
      <c r="O376" s="324">
        <f>6646502+7647833</f>
        <v>14294335</v>
      </c>
      <c r="P376" s="324">
        <f>750468+7270809+118524</f>
        <v>8139801</v>
      </c>
      <c r="Q376" s="324">
        <v>758633</v>
      </c>
      <c r="R376" s="324">
        <v>0</v>
      </c>
      <c r="S376" s="324">
        <v>0</v>
      </c>
      <c r="T376" s="324">
        <v>0</v>
      </c>
      <c r="U376" s="325">
        <f>SUM(I376:T376)</f>
        <v>81019140</v>
      </c>
      <c r="V376" s="255">
        <f t="shared" si="124"/>
        <v>12709860</v>
      </c>
      <c r="W376" s="253"/>
      <c r="X376" s="245">
        <f t="shared" si="125"/>
        <v>86.43977851038632</v>
      </c>
    </row>
    <row r="377" spans="2:24" ht="12.75">
      <c r="B377" s="146">
        <v>29</v>
      </c>
      <c r="C377" s="87" t="s">
        <v>42</v>
      </c>
      <c r="D377" s="134"/>
      <c r="E377" s="135"/>
      <c r="F377" s="136"/>
      <c r="G377" s="90" t="s">
        <v>118</v>
      </c>
      <c r="H377" s="226">
        <f>SUM(H378:H380)</f>
        <v>21090000</v>
      </c>
      <c r="I377" s="226">
        <f>SUM(I378:I380)</f>
        <v>22880</v>
      </c>
      <c r="J377" s="226">
        <f aca="true" t="shared" si="126" ref="J377:S377">SUM(J378:J380)</f>
        <v>0</v>
      </c>
      <c r="K377" s="226">
        <f t="shared" si="126"/>
        <v>0</v>
      </c>
      <c r="L377" s="226">
        <f t="shared" si="126"/>
        <v>3403400</v>
      </c>
      <c r="M377" s="226">
        <f t="shared" si="126"/>
        <v>2100683</v>
      </c>
      <c r="N377" s="226">
        <f>SUM(N378:N380)</f>
        <v>839998</v>
      </c>
      <c r="O377" s="226">
        <f t="shared" si="126"/>
        <v>6320697</v>
      </c>
      <c r="P377" s="226">
        <f t="shared" si="126"/>
        <v>272510</v>
      </c>
      <c r="Q377" s="226">
        <f t="shared" si="126"/>
        <v>2341700</v>
      </c>
      <c r="R377" s="226">
        <f t="shared" si="126"/>
        <v>0</v>
      </c>
      <c r="S377" s="226">
        <f t="shared" si="126"/>
        <v>0</v>
      </c>
      <c r="T377" s="226">
        <f>SUM(T378:T380)</f>
        <v>0</v>
      </c>
      <c r="U377" s="226">
        <f>SUM(U378:U380)</f>
        <v>15301868</v>
      </c>
      <c r="V377" s="243">
        <f t="shared" si="124"/>
        <v>5788132</v>
      </c>
      <c r="W377" s="241">
        <f>SUM(W378:W380)</f>
        <v>0</v>
      </c>
      <c r="X377" s="245">
        <f t="shared" si="125"/>
        <v>72.55508771929826</v>
      </c>
    </row>
    <row r="378" spans="2:24" ht="12.75">
      <c r="B378" s="115">
        <v>29</v>
      </c>
      <c r="C378" s="92" t="s">
        <v>42</v>
      </c>
      <c r="D378" s="93" t="s">
        <v>14</v>
      </c>
      <c r="E378" s="129"/>
      <c r="F378" s="118"/>
      <c r="G378" s="95" t="s">
        <v>449</v>
      </c>
      <c r="H378" s="322">
        <v>821000</v>
      </c>
      <c r="I378" s="322">
        <v>22880</v>
      </c>
      <c r="J378" s="322">
        <v>0</v>
      </c>
      <c r="K378" s="322">
        <v>0</v>
      </c>
      <c r="L378" s="322">
        <v>0</v>
      </c>
      <c r="M378" s="322">
        <v>653643</v>
      </c>
      <c r="N378" s="322">
        <v>0</v>
      </c>
      <c r="O378" s="322">
        <v>0</v>
      </c>
      <c r="P378" s="322">
        <v>0</v>
      </c>
      <c r="Q378" s="322">
        <v>0</v>
      </c>
      <c r="R378" s="322">
        <v>0</v>
      </c>
      <c r="S378" s="322">
        <v>0</v>
      </c>
      <c r="T378" s="322">
        <v>0</v>
      </c>
      <c r="U378" s="322">
        <f aca="true" t="shared" si="127" ref="U378:U388">SUM(I378:T378)</f>
        <v>676523</v>
      </c>
      <c r="V378" s="36">
        <f t="shared" si="124"/>
        <v>144477</v>
      </c>
      <c r="W378" s="35"/>
      <c r="X378" s="247">
        <f t="shared" si="125"/>
        <v>82.40231425091352</v>
      </c>
    </row>
    <row r="379" spans="2:24" ht="12.75">
      <c r="B379" s="115">
        <v>29</v>
      </c>
      <c r="C379" s="92" t="s">
        <v>42</v>
      </c>
      <c r="D379" s="93" t="s">
        <v>17</v>
      </c>
      <c r="E379" s="129"/>
      <c r="F379" s="118"/>
      <c r="G379" s="95" t="s">
        <v>450</v>
      </c>
      <c r="H379" s="322">
        <v>0</v>
      </c>
      <c r="I379" s="322">
        <v>0</v>
      </c>
      <c r="J379" s="322">
        <v>0</v>
      </c>
      <c r="K379" s="322">
        <v>0</v>
      </c>
      <c r="L379" s="322">
        <v>0</v>
      </c>
      <c r="M379" s="322">
        <v>0</v>
      </c>
      <c r="N379" s="322">
        <v>0</v>
      </c>
      <c r="O379" s="322">
        <v>0</v>
      </c>
      <c r="P379" s="322">
        <v>0</v>
      </c>
      <c r="Q379" s="322">
        <v>0</v>
      </c>
      <c r="R379" s="322">
        <v>0</v>
      </c>
      <c r="S379" s="322">
        <v>0</v>
      </c>
      <c r="T379" s="322">
        <v>0</v>
      </c>
      <c r="U379" s="322">
        <f t="shared" si="127"/>
        <v>0</v>
      </c>
      <c r="V379" s="36">
        <f t="shared" si="124"/>
        <v>0</v>
      </c>
      <c r="W379" s="35"/>
      <c r="X379" s="247" t="e">
        <f t="shared" si="125"/>
        <v>#DIV/0!</v>
      </c>
    </row>
    <row r="380" spans="2:24" ht="12.75">
      <c r="B380" s="115">
        <v>29</v>
      </c>
      <c r="C380" s="92" t="s">
        <v>42</v>
      </c>
      <c r="D380" s="93" t="s">
        <v>30</v>
      </c>
      <c r="E380" s="129"/>
      <c r="F380" s="118"/>
      <c r="G380" s="95" t="s">
        <v>34</v>
      </c>
      <c r="H380" s="322">
        <v>20269000</v>
      </c>
      <c r="I380" s="322">
        <v>0</v>
      </c>
      <c r="J380" s="322">
        <v>0</v>
      </c>
      <c r="K380" s="322">
        <v>0</v>
      </c>
      <c r="L380" s="322">
        <v>3403400</v>
      </c>
      <c r="M380" s="322">
        <v>1447040</v>
      </c>
      <c r="N380" s="322">
        <v>839998</v>
      </c>
      <c r="O380" s="322">
        <f>5874447+446250</f>
        <v>6320697</v>
      </c>
      <c r="P380" s="322">
        <v>272510</v>
      </c>
      <c r="Q380" s="322">
        <f>776475+1565225</f>
        <v>2341700</v>
      </c>
      <c r="R380" s="322">
        <v>0</v>
      </c>
      <c r="S380" s="322">
        <v>0</v>
      </c>
      <c r="T380" s="322">
        <v>0</v>
      </c>
      <c r="U380" s="322">
        <f t="shared" si="127"/>
        <v>14625345</v>
      </c>
      <c r="V380" s="36">
        <f t="shared" si="124"/>
        <v>5643655</v>
      </c>
      <c r="W380" s="35">
        <v>0</v>
      </c>
      <c r="X380" s="247">
        <f t="shared" si="125"/>
        <v>72.15622379002417</v>
      </c>
    </row>
    <row r="381" spans="2:24" ht="12.75">
      <c r="B381" s="146">
        <v>29</v>
      </c>
      <c r="C381" s="87" t="s">
        <v>76</v>
      </c>
      <c r="D381" s="134"/>
      <c r="E381" s="135"/>
      <c r="F381" s="136"/>
      <c r="G381" s="90" t="s">
        <v>119</v>
      </c>
      <c r="H381" s="226">
        <f>SUM(H382:H383)</f>
        <v>32152000</v>
      </c>
      <c r="I381" s="226">
        <f>SUM(I382:I383)</f>
        <v>0</v>
      </c>
      <c r="J381" s="226">
        <f aca="true" t="shared" si="128" ref="J381:S381">SUM(J382:J383)</f>
        <v>489923</v>
      </c>
      <c r="K381" s="226">
        <f t="shared" si="128"/>
        <v>7252911</v>
      </c>
      <c r="L381" s="226">
        <f t="shared" si="128"/>
        <v>1085155</v>
      </c>
      <c r="M381" s="226">
        <f t="shared" si="128"/>
        <v>498610</v>
      </c>
      <c r="N381" s="226">
        <f>SUM(N382:N383)</f>
        <v>639504</v>
      </c>
      <c r="O381" s="226">
        <f t="shared" si="128"/>
        <v>740716</v>
      </c>
      <c r="P381" s="226">
        <f t="shared" si="128"/>
        <v>3789390</v>
      </c>
      <c r="Q381" s="226">
        <f t="shared" si="128"/>
        <v>4907945</v>
      </c>
      <c r="R381" s="226">
        <f t="shared" si="128"/>
        <v>0</v>
      </c>
      <c r="S381" s="226">
        <f t="shared" si="128"/>
        <v>0</v>
      </c>
      <c r="T381" s="226">
        <f>SUM(T382:T383)</f>
        <v>0</v>
      </c>
      <c r="U381" s="226">
        <f>SUM(U382:U383)</f>
        <v>19404154</v>
      </c>
      <c r="V381" s="243">
        <f t="shared" si="124"/>
        <v>12747846</v>
      </c>
      <c r="W381" s="241">
        <f>SUM(W382:W383)</f>
        <v>0</v>
      </c>
      <c r="X381" s="245">
        <f t="shared" si="125"/>
        <v>60.351312515551136</v>
      </c>
    </row>
    <row r="382" spans="2:24" ht="12.75">
      <c r="B382" s="115">
        <v>29</v>
      </c>
      <c r="C382" s="92" t="s">
        <v>76</v>
      </c>
      <c r="D382" s="93" t="s">
        <v>14</v>
      </c>
      <c r="E382" s="129"/>
      <c r="F382" s="118"/>
      <c r="G382" s="95" t="s">
        <v>451</v>
      </c>
      <c r="H382" s="322">
        <v>28332000</v>
      </c>
      <c r="I382" s="322">
        <v>0</v>
      </c>
      <c r="J382" s="322">
        <v>489923</v>
      </c>
      <c r="K382" s="322">
        <f>3931727+3321184</f>
        <v>7252911</v>
      </c>
      <c r="L382" s="322">
        <v>1085155</v>
      </c>
      <c r="M382" s="322">
        <v>0</v>
      </c>
      <c r="N382" s="322">
        <v>639504</v>
      </c>
      <c r="O382" s="322">
        <v>740716</v>
      </c>
      <c r="P382" s="322">
        <f>3494011+295379</f>
        <v>3789390</v>
      </c>
      <c r="Q382" s="322">
        <v>0</v>
      </c>
      <c r="R382" s="322">
        <v>0</v>
      </c>
      <c r="S382" s="322">
        <v>0</v>
      </c>
      <c r="T382" s="322">
        <v>0</v>
      </c>
      <c r="U382" s="322">
        <f t="shared" si="127"/>
        <v>13997599</v>
      </c>
      <c r="V382" s="36">
        <f t="shared" si="124"/>
        <v>14334401</v>
      </c>
      <c r="W382" s="35"/>
      <c r="X382" s="247">
        <f t="shared" si="125"/>
        <v>49.40561555837922</v>
      </c>
    </row>
    <row r="383" spans="2:24" ht="12.75">
      <c r="B383" s="115">
        <v>29</v>
      </c>
      <c r="C383" s="92" t="s">
        <v>76</v>
      </c>
      <c r="D383" s="93" t="s">
        <v>17</v>
      </c>
      <c r="E383" s="129"/>
      <c r="F383" s="118"/>
      <c r="G383" s="95" t="s">
        <v>452</v>
      </c>
      <c r="H383" s="322">
        <v>3820000</v>
      </c>
      <c r="I383" s="322">
        <v>0</v>
      </c>
      <c r="J383" s="322">
        <v>0</v>
      </c>
      <c r="K383" s="322">
        <v>0</v>
      </c>
      <c r="L383" s="322">
        <v>0</v>
      </c>
      <c r="M383" s="322">
        <v>498610</v>
      </c>
      <c r="N383" s="322">
        <v>0</v>
      </c>
      <c r="O383" s="322">
        <v>0</v>
      </c>
      <c r="P383" s="322">
        <v>0</v>
      </c>
      <c r="Q383" s="322">
        <f>4448346+459599</f>
        <v>4907945</v>
      </c>
      <c r="R383" s="322">
        <v>0</v>
      </c>
      <c r="S383" s="322">
        <v>0</v>
      </c>
      <c r="T383" s="322">
        <v>0</v>
      </c>
      <c r="U383" s="322">
        <f t="shared" si="127"/>
        <v>5406555</v>
      </c>
      <c r="V383" s="36">
        <f t="shared" si="124"/>
        <v>-1586555</v>
      </c>
      <c r="W383" s="35"/>
      <c r="X383" s="247">
        <f t="shared" si="125"/>
        <v>141.53285340314136</v>
      </c>
    </row>
    <row r="384" spans="2:24" ht="12.75">
      <c r="B384" s="146">
        <v>29</v>
      </c>
      <c r="C384" s="87" t="s">
        <v>78</v>
      </c>
      <c r="D384" s="134"/>
      <c r="E384" s="135"/>
      <c r="F384" s="136"/>
      <c r="G384" s="90" t="s">
        <v>120</v>
      </c>
      <c r="H384" s="226">
        <f>SUM(H385:H386)</f>
        <v>16498000</v>
      </c>
      <c r="I384" s="226">
        <f>SUM(I385:I386)</f>
        <v>0</v>
      </c>
      <c r="J384" s="226">
        <f aca="true" t="shared" si="129" ref="J384:S384">SUM(J385:J386)</f>
        <v>0</v>
      </c>
      <c r="K384" s="226">
        <f t="shared" si="129"/>
        <v>0</v>
      </c>
      <c r="L384" s="226">
        <f t="shared" si="129"/>
        <v>0</v>
      </c>
      <c r="M384" s="226">
        <f t="shared" si="129"/>
        <v>1497234</v>
      </c>
      <c r="N384" s="226">
        <f>SUM(N385:N386)</f>
        <v>0</v>
      </c>
      <c r="O384" s="226">
        <f t="shared" si="129"/>
        <v>0</v>
      </c>
      <c r="P384" s="226">
        <f t="shared" si="129"/>
        <v>0</v>
      </c>
      <c r="Q384" s="226">
        <f t="shared" si="129"/>
        <v>0</v>
      </c>
      <c r="R384" s="226">
        <f t="shared" si="129"/>
        <v>0</v>
      </c>
      <c r="S384" s="226">
        <f t="shared" si="129"/>
        <v>0</v>
      </c>
      <c r="T384" s="226">
        <f>SUM(T385:T386)</f>
        <v>0</v>
      </c>
      <c r="U384" s="226">
        <f>SUM(U385:U386)</f>
        <v>1497234</v>
      </c>
      <c r="V384" s="243">
        <f t="shared" si="124"/>
        <v>15000766</v>
      </c>
      <c r="W384" s="241">
        <f>SUM(W385:W386)</f>
        <v>0</v>
      </c>
      <c r="X384" s="245">
        <f t="shared" si="125"/>
        <v>9.075245484301126</v>
      </c>
    </row>
    <row r="385" spans="2:24" ht="12.75">
      <c r="B385" s="115">
        <v>29</v>
      </c>
      <c r="C385" s="92" t="s">
        <v>78</v>
      </c>
      <c r="D385" s="93" t="s">
        <v>14</v>
      </c>
      <c r="E385" s="129"/>
      <c r="F385" s="118"/>
      <c r="G385" s="95" t="s">
        <v>453</v>
      </c>
      <c r="H385" s="322">
        <v>16498000</v>
      </c>
      <c r="I385" s="322">
        <v>0</v>
      </c>
      <c r="J385" s="322">
        <v>0</v>
      </c>
      <c r="K385" s="322">
        <v>0</v>
      </c>
      <c r="L385" s="322">
        <v>0</v>
      </c>
      <c r="M385" s="322">
        <v>1497234</v>
      </c>
      <c r="N385" s="322">
        <v>0</v>
      </c>
      <c r="O385" s="322">
        <v>0</v>
      </c>
      <c r="P385" s="322">
        <v>0</v>
      </c>
      <c r="Q385" s="322">
        <v>0</v>
      </c>
      <c r="R385" s="322">
        <v>0</v>
      </c>
      <c r="S385" s="322">
        <v>0</v>
      </c>
      <c r="T385" s="322">
        <v>0</v>
      </c>
      <c r="U385" s="322">
        <f t="shared" si="127"/>
        <v>1497234</v>
      </c>
      <c r="V385" s="36">
        <f t="shared" si="124"/>
        <v>15000766</v>
      </c>
      <c r="W385" s="35">
        <v>0</v>
      </c>
      <c r="X385" s="247">
        <f t="shared" si="125"/>
        <v>9.075245484301126</v>
      </c>
    </row>
    <row r="386" spans="2:24" ht="12.75">
      <c r="B386" s="115">
        <v>29</v>
      </c>
      <c r="C386" s="92" t="s">
        <v>78</v>
      </c>
      <c r="D386" s="93" t="s">
        <v>17</v>
      </c>
      <c r="E386" s="129"/>
      <c r="F386" s="118"/>
      <c r="G386" s="95" t="s">
        <v>454</v>
      </c>
      <c r="H386" s="322">
        <v>0</v>
      </c>
      <c r="I386" s="322">
        <v>0</v>
      </c>
      <c r="J386" s="322">
        <v>0</v>
      </c>
      <c r="K386" s="322">
        <v>0</v>
      </c>
      <c r="L386" s="322">
        <v>0</v>
      </c>
      <c r="M386" s="322">
        <v>0</v>
      </c>
      <c r="N386" s="322">
        <v>0</v>
      </c>
      <c r="O386" s="322">
        <v>0</v>
      </c>
      <c r="P386" s="322">
        <v>0</v>
      </c>
      <c r="Q386" s="322">
        <v>0</v>
      </c>
      <c r="R386" s="322">
        <v>0</v>
      </c>
      <c r="S386" s="322">
        <v>0</v>
      </c>
      <c r="T386" s="322">
        <v>0</v>
      </c>
      <c r="U386" s="322">
        <f t="shared" si="127"/>
        <v>0</v>
      </c>
      <c r="V386" s="36">
        <f t="shared" si="124"/>
        <v>0</v>
      </c>
      <c r="W386" s="35"/>
      <c r="X386" s="247">
        <v>0</v>
      </c>
    </row>
    <row r="387" spans="2:24" ht="12.75">
      <c r="B387" s="146">
        <v>29</v>
      </c>
      <c r="C387" s="87" t="s">
        <v>40</v>
      </c>
      <c r="D387" s="88"/>
      <c r="E387" s="135"/>
      <c r="F387" s="136"/>
      <c r="G387" s="90" t="s">
        <v>121</v>
      </c>
      <c r="H387" s="324">
        <v>6192000</v>
      </c>
      <c r="I387" s="324">
        <v>0</v>
      </c>
      <c r="J387" s="324">
        <v>0</v>
      </c>
      <c r="K387" s="324">
        <v>0</v>
      </c>
      <c r="L387" s="324">
        <v>0</v>
      </c>
      <c r="M387" s="324">
        <v>0</v>
      </c>
      <c r="N387" s="324">
        <v>0</v>
      </c>
      <c r="O387" s="324">
        <v>5391372</v>
      </c>
      <c r="P387" s="324">
        <v>0</v>
      </c>
      <c r="Q387" s="324">
        <v>773500</v>
      </c>
      <c r="R387" s="324">
        <v>0</v>
      </c>
      <c r="S387" s="324">
        <v>0</v>
      </c>
      <c r="T387" s="324">
        <v>0</v>
      </c>
      <c r="U387" s="325">
        <f t="shared" si="127"/>
        <v>6164872</v>
      </c>
      <c r="V387" s="255">
        <f t="shared" si="124"/>
        <v>27128</v>
      </c>
      <c r="W387" s="253"/>
      <c r="X387" s="245">
        <f t="shared" si="125"/>
        <v>99.56188630490956</v>
      </c>
    </row>
    <row r="388" spans="2:24" ht="12.75">
      <c r="B388" s="140"/>
      <c r="C388" s="92"/>
      <c r="D388" s="142"/>
      <c r="E388" s="129"/>
      <c r="F388" s="118"/>
      <c r="G388" s="98"/>
      <c r="H388" s="225"/>
      <c r="I388" s="225"/>
      <c r="J388" s="225"/>
      <c r="K388" s="225"/>
      <c r="L388" s="225"/>
      <c r="M388" s="225"/>
      <c r="N388" s="225"/>
      <c r="O388" s="225"/>
      <c r="P388" s="225"/>
      <c r="Q388" s="225"/>
      <c r="R388" s="225"/>
      <c r="S388" s="225"/>
      <c r="T388" s="225"/>
      <c r="U388" s="322">
        <f t="shared" si="127"/>
        <v>0</v>
      </c>
      <c r="V388" s="38">
        <f t="shared" si="124"/>
        <v>0</v>
      </c>
      <c r="W388" s="37"/>
      <c r="X388" s="247"/>
    </row>
    <row r="389" spans="2:24" ht="12.75">
      <c r="B389" s="148">
        <v>30</v>
      </c>
      <c r="C389" s="82"/>
      <c r="D389" s="144"/>
      <c r="E389" s="143"/>
      <c r="F389" s="145"/>
      <c r="G389" s="85" t="s">
        <v>455</v>
      </c>
      <c r="H389" s="323">
        <f>SUM(H390+H394+H395+H396)</f>
        <v>0</v>
      </c>
      <c r="I389" s="323">
        <f>SUM(I390+I394+I395+I396)</f>
        <v>0</v>
      </c>
      <c r="J389" s="323">
        <f aca="true" t="shared" si="130" ref="J389:S389">SUM(J390+J394+J395+J396)</f>
        <v>0</v>
      </c>
      <c r="K389" s="323">
        <f t="shared" si="130"/>
        <v>0</v>
      </c>
      <c r="L389" s="323">
        <f t="shared" si="130"/>
        <v>0</v>
      </c>
      <c r="M389" s="323">
        <f t="shared" si="130"/>
        <v>0</v>
      </c>
      <c r="N389" s="323">
        <f>SUM(N390+N394+N395+N396)</f>
        <v>0</v>
      </c>
      <c r="O389" s="323">
        <f t="shared" si="130"/>
        <v>0</v>
      </c>
      <c r="P389" s="323">
        <f t="shared" si="130"/>
        <v>0</v>
      </c>
      <c r="Q389" s="323">
        <f t="shared" si="130"/>
        <v>0</v>
      </c>
      <c r="R389" s="323">
        <f t="shared" si="130"/>
        <v>0</v>
      </c>
      <c r="S389" s="323">
        <f t="shared" si="130"/>
        <v>0</v>
      </c>
      <c r="T389" s="329">
        <f>SUM(T390+T394+T395+T396)</f>
        <v>0</v>
      </c>
      <c r="U389" s="323">
        <f>SUM(U390+U394+U395+U396)</f>
        <v>0</v>
      </c>
      <c r="V389" s="251">
        <f t="shared" si="124"/>
        <v>0</v>
      </c>
      <c r="W389" s="237">
        <f>SUM(W390+W394+W395+W396)</f>
        <v>0</v>
      </c>
      <c r="X389" s="252">
        <v>0</v>
      </c>
    </row>
    <row r="390" spans="2:24" ht="12.75" customHeight="1" hidden="1">
      <c r="B390" s="146">
        <v>30</v>
      </c>
      <c r="C390" s="87" t="s">
        <v>12</v>
      </c>
      <c r="D390" s="134"/>
      <c r="E390" s="135"/>
      <c r="F390" s="136"/>
      <c r="G390" s="90" t="s">
        <v>456</v>
      </c>
      <c r="H390" s="226">
        <f>SUM(H391:H393)</f>
        <v>0</v>
      </c>
      <c r="I390" s="226">
        <f>SUM(I391:I393)</f>
        <v>0</v>
      </c>
      <c r="J390" s="226">
        <f aca="true" t="shared" si="131" ref="J390:S390">SUM(J391:J393)</f>
        <v>0</v>
      </c>
      <c r="K390" s="226">
        <f t="shared" si="131"/>
        <v>0</v>
      </c>
      <c r="L390" s="226">
        <f t="shared" si="131"/>
        <v>0</v>
      </c>
      <c r="M390" s="226">
        <f t="shared" si="131"/>
        <v>0</v>
      </c>
      <c r="N390" s="226">
        <f>SUM(N391:N393)</f>
        <v>0</v>
      </c>
      <c r="O390" s="226">
        <f t="shared" si="131"/>
        <v>0</v>
      </c>
      <c r="P390" s="226">
        <f t="shared" si="131"/>
        <v>0</v>
      </c>
      <c r="Q390" s="226">
        <f t="shared" si="131"/>
        <v>0</v>
      </c>
      <c r="R390" s="226">
        <f t="shared" si="131"/>
        <v>0</v>
      </c>
      <c r="S390" s="226">
        <f t="shared" si="131"/>
        <v>0</v>
      </c>
      <c r="T390" s="244">
        <f>SUM(T391:T393)</f>
        <v>0</v>
      </c>
      <c r="U390" s="226">
        <f>SUM(U391:U393)</f>
        <v>0</v>
      </c>
      <c r="V390" s="243">
        <f t="shared" si="124"/>
        <v>0</v>
      </c>
      <c r="W390" s="241">
        <f>SUM(W391:W393)</f>
        <v>0</v>
      </c>
      <c r="X390" s="245">
        <v>0</v>
      </c>
    </row>
    <row r="391" spans="2:24" ht="12.75" customHeight="1" hidden="1">
      <c r="B391" s="115">
        <v>30</v>
      </c>
      <c r="C391" s="92" t="s">
        <v>12</v>
      </c>
      <c r="D391" s="93" t="s">
        <v>14</v>
      </c>
      <c r="E391" s="129"/>
      <c r="F391" s="118"/>
      <c r="G391" s="95" t="s">
        <v>125</v>
      </c>
      <c r="H391" s="322"/>
      <c r="I391" s="322"/>
      <c r="J391" s="322"/>
      <c r="K391" s="322"/>
      <c r="L391" s="322"/>
      <c r="M391" s="322"/>
      <c r="N391" s="322"/>
      <c r="O391" s="322"/>
      <c r="P391" s="322"/>
      <c r="Q391" s="322"/>
      <c r="R391" s="322"/>
      <c r="S391" s="322"/>
      <c r="T391" s="328"/>
      <c r="U391" s="322">
        <f aca="true" t="shared" si="132" ref="U391:U396">SUM(I391:T391)</f>
        <v>0</v>
      </c>
      <c r="V391" s="36">
        <f t="shared" si="124"/>
        <v>0</v>
      </c>
      <c r="W391" s="35"/>
      <c r="X391" s="247">
        <v>0</v>
      </c>
    </row>
    <row r="392" spans="2:24" ht="12.75" customHeight="1" hidden="1">
      <c r="B392" s="115">
        <v>30</v>
      </c>
      <c r="C392" s="92" t="s">
        <v>12</v>
      </c>
      <c r="D392" s="93" t="s">
        <v>22</v>
      </c>
      <c r="E392" s="129"/>
      <c r="F392" s="118"/>
      <c r="G392" s="95" t="s">
        <v>126</v>
      </c>
      <c r="H392" s="322"/>
      <c r="I392" s="322"/>
      <c r="J392" s="322"/>
      <c r="K392" s="322"/>
      <c r="L392" s="322"/>
      <c r="M392" s="322"/>
      <c r="N392" s="322"/>
      <c r="O392" s="322"/>
      <c r="P392" s="322"/>
      <c r="Q392" s="322"/>
      <c r="R392" s="322"/>
      <c r="S392" s="322"/>
      <c r="T392" s="328"/>
      <c r="U392" s="322">
        <f t="shared" si="132"/>
        <v>0</v>
      </c>
      <c r="V392" s="36">
        <f t="shared" si="124"/>
        <v>0</v>
      </c>
      <c r="W392" s="35"/>
      <c r="X392" s="247">
        <v>0</v>
      </c>
    </row>
    <row r="393" spans="2:24" ht="12.75" customHeight="1" hidden="1">
      <c r="B393" s="115">
        <v>30</v>
      </c>
      <c r="C393" s="92" t="s">
        <v>12</v>
      </c>
      <c r="D393" s="93" t="s">
        <v>30</v>
      </c>
      <c r="E393" s="129"/>
      <c r="F393" s="118"/>
      <c r="G393" s="95" t="s">
        <v>31</v>
      </c>
      <c r="H393" s="322"/>
      <c r="I393" s="322"/>
      <c r="J393" s="322"/>
      <c r="K393" s="322"/>
      <c r="L393" s="322"/>
      <c r="M393" s="322"/>
      <c r="N393" s="322"/>
      <c r="O393" s="322"/>
      <c r="P393" s="322"/>
      <c r="Q393" s="322"/>
      <c r="R393" s="322"/>
      <c r="S393" s="322"/>
      <c r="T393" s="328"/>
      <c r="U393" s="322">
        <f t="shared" si="132"/>
        <v>0</v>
      </c>
      <c r="V393" s="36">
        <f t="shared" si="124"/>
        <v>0</v>
      </c>
      <c r="W393" s="35"/>
      <c r="X393" s="247">
        <v>0</v>
      </c>
    </row>
    <row r="394" spans="2:24" ht="12.75" customHeight="1" hidden="1">
      <c r="B394" s="146">
        <v>30</v>
      </c>
      <c r="C394" s="87" t="s">
        <v>35</v>
      </c>
      <c r="D394" s="134"/>
      <c r="E394" s="135"/>
      <c r="F394" s="136"/>
      <c r="G394" s="90" t="s">
        <v>457</v>
      </c>
      <c r="H394" s="324"/>
      <c r="I394" s="324"/>
      <c r="J394" s="324"/>
      <c r="K394" s="324"/>
      <c r="L394" s="324"/>
      <c r="M394" s="324"/>
      <c r="N394" s="324"/>
      <c r="O394" s="324"/>
      <c r="P394" s="324"/>
      <c r="Q394" s="324"/>
      <c r="R394" s="324"/>
      <c r="S394" s="324"/>
      <c r="T394" s="330"/>
      <c r="U394" s="325">
        <f t="shared" si="132"/>
        <v>0</v>
      </c>
      <c r="V394" s="255">
        <f t="shared" si="124"/>
        <v>0</v>
      </c>
      <c r="W394" s="253"/>
      <c r="X394" s="245">
        <v>0</v>
      </c>
    </row>
    <row r="395" spans="2:24" ht="12.75" customHeight="1" hidden="1">
      <c r="B395" s="146">
        <v>30</v>
      </c>
      <c r="C395" s="87" t="s">
        <v>10</v>
      </c>
      <c r="D395" s="88"/>
      <c r="E395" s="135"/>
      <c r="F395" s="136"/>
      <c r="G395" s="90" t="s">
        <v>458</v>
      </c>
      <c r="H395" s="324"/>
      <c r="I395" s="324"/>
      <c r="J395" s="324"/>
      <c r="K395" s="324"/>
      <c r="L395" s="324"/>
      <c r="M395" s="324"/>
      <c r="N395" s="324"/>
      <c r="O395" s="324"/>
      <c r="P395" s="324"/>
      <c r="Q395" s="324"/>
      <c r="R395" s="324"/>
      <c r="S395" s="324"/>
      <c r="T395" s="330"/>
      <c r="U395" s="325">
        <f t="shared" si="132"/>
        <v>0</v>
      </c>
      <c r="V395" s="255">
        <f t="shared" si="124"/>
        <v>0</v>
      </c>
      <c r="W395" s="253"/>
      <c r="X395" s="245">
        <v>0</v>
      </c>
    </row>
    <row r="396" spans="2:24" ht="12.75" customHeight="1" hidden="1">
      <c r="B396" s="146">
        <v>30</v>
      </c>
      <c r="C396" s="87" t="s">
        <v>40</v>
      </c>
      <c r="D396" s="88"/>
      <c r="E396" s="135"/>
      <c r="F396" s="136"/>
      <c r="G396" s="90" t="s">
        <v>129</v>
      </c>
      <c r="H396" s="324"/>
      <c r="I396" s="324"/>
      <c r="J396" s="324"/>
      <c r="K396" s="324"/>
      <c r="L396" s="324"/>
      <c r="M396" s="324"/>
      <c r="N396" s="324"/>
      <c r="O396" s="324"/>
      <c r="P396" s="324"/>
      <c r="Q396" s="324"/>
      <c r="R396" s="324"/>
      <c r="S396" s="324"/>
      <c r="T396" s="330"/>
      <c r="U396" s="325">
        <f t="shared" si="132"/>
        <v>0</v>
      </c>
      <c r="V396" s="255">
        <f t="shared" si="124"/>
        <v>0</v>
      </c>
      <c r="W396" s="253"/>
      <c r="X396" s="245">
        <v>0</v>
      </c>
    </row>
    <row r="397" spans="2:24" ht="12.75">
      <c r="B397" s="140"/>
      <c r="C397" s="92"/>
      <c r="D397" s="142"/>
      <c r="E397" s="129"/>
      <c r="F397" s="118"/>
      <c r="G397" s="98"/>
      <c r="H397" s="225"/>
      <c r="I397" s="225"/>
      <c r="J397" s="225"/>
      <c r="K397" s="225"/>
      <c r="L397" s="225"/>
      <c r="M397" s="225"/>
      <c r="N397" s="225"/>
      <c r="O397" s="225"/>
      <c r="P397" s="225"/>
      <c r="Q397" s="225"/>
      <c r="R397" s="225"/>
      <c r="S397" s="225"/>
      <c r="T397" s="34"/>
      <c r="U397" s="225"/>
      <c r="V397" s="38">
        <f t="shared" si="124"/>
        <v>0</v>
      </c>
      <c r="W397" s="37"/>
      <c r="X397" s="247"/>
    </row>
    <row r="398" spans="2:24" ht="12.75">
      <c r="B398" s="148">
        <v>31</v>
      </c>
      <c r="C398" s="82"/>
      <c r="D398" s="144"/>
      <c r="E398" s="143"/>
      <c r="F398" s="145"/>
      <c r="G398" s="85" t="s">
        <v>459</v>
      </c>
      <c r="H398" s="323">
        <f>SUM(H399+H402+H411)</f>
        <v>5952014000</v>
      </c>
      <c r="I398" s="323">
        <f>SUM(I399+I402+I411)</f>
        <v>140581071</v>
      </c>
      <c r="J398" s="323">
        <f aca="true" t="shared" si="133" ref="J398:S398">SUM(J399+J402+J411)</f>
        <v>191220367</v>
      </c>
      <c r="K398" s="323">
        <f t="shared" si="133"/>
        <v>192800095</v>
      </c>
      <c r="L398" s="323">
        <f t="shared" si="133"/>
        <v>187008440</v>
      </c>
      <c r="M398" s="323">
        <f t="shared" si="133"/>
        <v>120246174</v>
      </c>
      <c r="N398" s="323">
        <f>SUM(N399+N402+N411)</f>
        <v>65400016</v>
      </c>
      <c r="O398" s="323">
        <f t="shared" si="133"/>
        <v>257500996</v>
      </c>
      <c r="P398" s="323">
        <f t="shared" si="133"/>
        <v>290777771</v>
      </c>
      <c r="Q398" s="323">
        <f t="shared" si="133"/>
        <v>236330584</v>
      </c>
      <c r="R398" s="323">
        <f t="shared" si="133"/>
        <v>0</v>
      </c>
      <c r="S398" s="323">
        <f t="shared" si="133"/>
        <v>0</v>
      </c>
      <c r="T398" s="329">
        <f>SUM(T399+T402+T411)</f>
        <v>0</v>
      </c>
      <c r="U398" s="323">
        <f>SUM(U399+U402+U411)</f>
        <v>1681865514</v>
      </c>
      <c r="V398" s="251">
        <f t="shared" si="124"/>
        <v>4270148486</v>
      </c>
      <c r="W398" s="237">
        <f>SUM(W399+W402+W411)</f>
        <v>14993976</v>
      </c>
      <c r="X398" s="252">
        <f>SUM(U398/H398)*100</f>
        <v>28.25708262782984</v>
      </c>
    </row>
    <row r="399" spans="2:24" ht="12.75">
      <c r="B399" s="146">
        <v>31</v>
      </c>
      <c r="C399" s="87" t="s">
        <v>12</v>
      </c>
      <c r="D399" s="134"/>
      <c r="E399" s="135"/>
      <c r="F399" s="136"/>
      <c r="G399" s="90" t="s">
        <v>460</v>
      </c>
      <c r="H399" s="226">
        <f>SUM(H400:H401)</f>
        <v>290795000</v>
      </c>
      <c r="I399" s="226">
        <f>SUM(I400:I401)</f>
        <v>4200000</v>
      </c>
      <c r="J399" s="226">
        <f aca="true" t="shared" si="134" ref="J399:S399">SUM(J400:J401)</f>
        <v>2684211</v>
      </c>
      <c r="K399" s="226">
        <f t="shared" si="134"/>
        <v>0</v>
      </c>
      <c r="L399" s="226">
        <f t="shared" si="134"/>
        <v>0</v>
      </c>
      <c r="M399" s="226">
        <f t="shared" si="134"/>
        <v>4950000</v>
      </c>
      <c r="N399" s="226">
        <f>SUM(N400:N401)</f>
        <v>0</v>
      </c>
      <c r="O399" s="226">
        <f t="shared" si="134"/>
        <v>0</v>
      </c>
      <c r="P399" s="226">
        <f t="shared" si="134"/>
        <v>2100000</v>
      </c>
      <c r="Q399" s="226">
        <f t="shared" si="134"/>
        <v>0</v>
      </c>
      <c r="R399" s="226">
        <f t="shared" si="134"/>
        <v>0</v>
      </c>
      <c r="S399" s="226">
        <f t="shared" si="134"/>
        <v>0</v>
      </c>
      <c r="T399" s="226">
        <f>SUM(T400:T401)</f>
        <v>0</v>
      </c>
      <c r="U399" s="226">
        <f>SUM(U400:U401)</f>
        <v>13934211</v>
      </c>
      <c r="V399" s="243">
        <f t="shared" si="124"/>
        <v>276860789</v>
      </c>
      <c r="W399" s="241">
        <f>SUM(W400:W401)</f>
        <v>0</v>
      </c>
      <c r="X399" s="245">
        <f>SUM(U399/H399)*100</f>
        <v>4.791764301311921</v>
      </c>
    </row>
    <row r="400" spans="2:24" ht="12.75">
      <c r="B400" s="115">
        <v>31</v>
      </c>
      <c r="C400" s="92" t="s">
        <v>12</v>
      </c>
      <c r="D400" s="93" t="s">
        <v>14</v>
      </c>
      <c r="E400" s="129"/>
      <c r="F400" s="118"/>
      <c r="G400" s="95" t="s">
        <v>461</v>
      </c>
      <c r="H400" s="322">
        <v>0</v>
      </c>
      <c r="I400" s="322">
        <v>0</v>
      </c>
      <c r="J400" s="322">
        <v>0</v>
      </c>
      <c r="K400" s="322">
        <v>0</v>
      </c>
      <c r="L400" s="322">
        <v>0</v>
      </c>
      <c r="M400" s="322">
        <v>0</v>
      </c>
      <c r="N400" s="322">
        <v>0</v>
      </c>
      <c r="O400" s="322">
        <v>0</v>
      </c>
      <c r="P400" s="322">
        <v>0</v>
      </c>
      <c r="Q400" s="322">
        <v>0</v>
      </c>
      <c r="R400" s="322">
        <v>0</v>
      </c>
      <c r="S400" s="322">
        <v>0</v>
      </c>
      <c r="T400" s="322">
        <v>0</v>
      </c>
      <c r="U400" s="322">
        <f aca="true" t="shared" si="135" ref="U400:U415">SUM(I400:T400)</f>
        <v>0</v>
      </c>
      <c r="V400" s="36">
        <f t="shared" si="124"/>
        <v>0</v>
      </c>
      <c r="W400" s="35"/>
      <c r="X400" s="247">
        <v>0</v>
      </c>
    </row>
    <row r="401" spans="2:24" ht="12.75">
      <c r="B401" s="115">
        <v>31</v>
      </c>
      <c r="C401" s="92" t="s">
        <v>12</v>
      </c>
      <c r="D401" s="93" t="s">
        <v>17</v>
      </c>
      <c r="E401" s="129"/>
      <c r="F401" s="118"/>
      <c r="G401" s="95" t="s">
        <v>462</v>
      </c>
      <c r="H401" s="322">
        <v>290795000</v>
      </c>
      <c r="I401" s="322">
        <v>4200000</v>
      </c>
      <c r="J401" s="322">
        <v>2684211</v>
      </c>
      <c r="K401" s="322">
        <v>0</v>
      </c>
      <c r="L401" s="322">
        <v>0</v>
      </c>
      <c r="M401" s="322">
        <v>4950000</v>
      </c>
      <c r="N401" s="322">
        <v>0</v>
      </c>
      <c r="O401" s="322">
        <v>0</v>
      </c>
      <c r="P401" s="322">
        <v>2100000</v>
      </c>
      <c r="Q401" s="322">
        <v>0</v>
      </c>
      <c r="R401" s="322">
        <v>0</v>
      </c>
      <c r="S401" s="322">
        <v>0</v>
      </c>
      <c r="T401" s="322">
        <v>0</v>
      </c>
      <c r="U401" s="322">
        <f t="shared" si="135"/>
        <v>13934211</v>
      </c>
      <c r="V401" s="36">
        <f t="shared" si="124"/>
        <v>276860789</v>
      </c>
      <c r="W401" s="35">
        <v>0</v>
      </c>
      <c r="X401" s="247">
        <f>SUM(U401/H401)*100</f>
        <v>4.791764301311921</v>
      </c>
    </row>
    <row r="402" spans="2:24" ht="12.75">
      <c r="B402" s="146">
        <v>31</v>
      </c>
      <c r="C402" s="87" t="s">
        <v>35</v>
      </c>
      <c r="D402" s="134"/>
      <c r="E402" s="135"/>
      <c r="F402" s="136"/>
      <c r="G402" s="90" t="s">
        <v>463</v>
      </c>
      <c r="H402" s="226">
        <f>SUM(H403:H410)</f>
        <v>5661219000</v>
      </c>
      <c r="I402" s="226">
        <f>SUM(I403:I410)</f>
        <v>136381071</v>
      </c>
      <c r="J402" s="226">
        <f aca="true" t="shared" si="136" ref="J402:S402">SUM(J403:J410)</f>
        <v>188536156</v>
      </c>
      <c r="K402" s="226">
        <f t="shared" si="136"/>
        <v>192800095</v>
      </c>
      <c r="L402" s="226">
        <f t="shared" si="136"/>
        <v>187008440</v>
      </c>
      <c r="M402" s="226">
        <f t="shared" si="136"/>
        <v>115296174</v>
      </c>
      <c r="N402" s="226">
        <f>SUM(N403:N410)</f>
        <v>65400016</v>
      </c>
      <c r="O402" s="226">
        <f t="shared" si="136"/>
        <v>257500996</v>
      </c>
      <c r="P402" s="226">
        <f t="shared" si="136"/>
        <v>288677771</v>
      </c>
      <c r="Q402" s="226">
        <f t="shared" si="136"/>
        <v>236330584</v>
      </c>
      <c r="R402" s="226">
        <f t="shared" si="136"/>
        <v>0</v>
      </c>
      <c r="S402" s="226">
        <f t="shared" si="136"/>
        <v>0</v>
      </c>
      <c r="T402" s="226">
        <f>SUM(T403:T410)</f>
        <v>0</v>
      </c>
      <c r="U402" s="226">
        <f>SUM(U403:U410)</f>
        <v>1667931303</v>
      </c>
      <c r="V402" s="243">
        <f t="shared" si="124"/>
        <v>3993287697</v>
      </c>
      <c r="W402" s="241">
        <f>SUM(W403:W410)</f>
        <v>14993976</v>
      </c>
      <c r="X402" s="245">
        <f>SUM(U402/H402)*100</f>
        <v>29.462405587913132</v>
      </c>
    </row>
    <row r="403" spans="2:24" ht="12.75" customHeight="1" hidden="1">
      <c r="B403" s="115">
        <v>31</v>
      </c>
      <c r="C403" s="92" t="s">
        <v>35</v>
      </c>
      <c r="D403" s="93" t="s">
        <v>14</v>
      </c>
      <c r="E403" s="129"/>
      <c r="F403" s="118"/>
      <c r="G403" s="95" t="s">
        <v>461</v>
      </c>
      <c r="H403" s="322">
        <v>0</v>
      </c>
      <c r="I403" s="322">
        <v>0</v>
      </c>
      <c r="J403" s="322">
        <v>0</v>
      </c>
      <c r="K403" s="322">
        <v>0</v>
      </c>
      <c r="L403" s="322">
        <v>0</v>
      </c>
      <c r="M403" s="322">
        <v>0</v>
      </c>
      <c r="N403" s="322">
        <v>0</v>
      </c>
      <c r="O403" s="322">
        <v>0</v>
      </c>
      <c r="P403" s="322">
        <v>0</v>
      </c>
      <c r="Q403" s="322">
        <v>0</v>
      </c>
      <c r="R403" s="322">
        <v>0</v>
      </c>
      <c r="S403" s="322">
        <v>0</v>
      </c>
      <c r="T403" s="322">
        <v>0</v>
      </c>
      <c r="U403" s="322">
        <f t="shared" si="135"/>
        <v>0</v>
      </c>
      <c r="V403" s="36">
        <f t="shared" si="124"/>
        <v>0</v>
      </c>
      <c r="W403" s="35"/>
      <c r="X403" s="247">
        <v>0</v>
      </c>
    </row>
    <row r="404" spans="2:24" ht="12.75">
      <c r="B404" s="115">
        <v>31</v>
      </c>
      <c r="C404" s="92" t="s">
        <v>35</v>
      </c>
      <c r="D404" s="93" t="s">
        <v>17</v>
      </c>
      <c r="E404" s="129"/>
      <c r="F404" s="118"/>
      <c r="G404" s="95" t="s">
        <v>462</v>
      </c>
      <c r="H404" s="322">
        <v>37590000</v>
      </c>
      <c r="I404" s="322">
        <v>2800000</v>
      </c>
      <c r="J404" s="322">
        <v>2800000</v>
      </c>
      <c r="K404" s="322">
        <f>850000+1200000+100000</f>
        <v>2150000</v>
      </c>
      <c r="L404" s="322">
        <v>1300000</v>
      </c>
      <c r="M404" s="322">
        <f>1200000+100000</f>
        <v>1300000</v>
      </c>
      <c r="N404" s="322">
        <v>0</v>
      </c>
      <c r="O404" s="322">
        <v>0</v>
      </c>
      <c r="P404" s="322">
        <v>0</v>
      </c>
      <c r="Q404" s="322">
        <v>4348000</v>
      </c>
      <c r="R404" s="322">
        <v>0</v>
      </c>
      <c r="S404" s="322">
        <v>0</v>
      </c>
      <c r="T404" s="322">
        <v>0</v>
      </c>
      <c r="U404" s="322">
        <f t="shared" si="135"/>
        <v>14698000</v>
      </c>
      <c r="V404" s="36">
        <f aca="true" t="shared" si="137" ref="V404:V435">H404-U404</f>
        <v>22892000</v>
      </c>
      <c r="W404" s="35">
        <v>4348000</v>
      </c>
      <c r="X404" s="247">
        <f>SUM(U404/H404)*100</f>
        <v>39.10082468741687</v>
      </c>
    </row>
    <row r="405" spans="2:24" ht="12.75">
      <c r="B405" s="115">
        <v>31</v>
      </c>
      <c r="C405" s="92" t="s">
        <v>35</v>
      </c>
      <c r="D405" s="93" t="s">
        <v>22</v>
      </c>
      <c r="E405" s="129"/>
      <c r="F405" s="118"/>
      <c r="G405" s="95" t="s">
        <v>464</v>
      </c>
      <c r="H405" s="322">
        <v>0</v>
      </c>
      <c r="I405" s="322">
        <v>0</v>
      </c>
      <c r="J405" s="322">
        <v>0</v>
      </c>
      <c r="K405" s="322">
        <v>0</v>
      </c>
      <c r="L405" s="322">
        <v>0</v>
      </c>
      <c r="M405" s="322">
        <v>0</v>
      </c>
      <c r="N405" s="322">
        <v>0</v>
      </c>
      <c r="O405" s="322">
        <v>0</v>
      </c>
      <c r="P405" s="322">
        <v>0</v>
      </c>
      <c r="Q405" s="322">
        <v>0</v>
      </c>
      <c r="R405" s="322">
        <v>0</v>
      </c>
      <c r="S405" s="322">
        <v>0</v>
      </c>
      <c r="T405" s="322">
        <v>0</v>
      </c>
      <c r="U405" s="322">
        <f t="shared" si="135"/>
        <v>0</v>
      </c>
      <c r="V405" s="36">
        <f t="shared" si="137"/>
        <v>0</v>
      </c>
      <c r="W405" s="35"/>
      <c r="X405" s="247">
        <v>0</v>
      </c>
    </row>
    <row r="406" spans="2:24" ht="12.75">
      <c r="B406" s="115">
        <v>31</v>
      </c>
      <c r="C406" s="92" t="s">
        <v>35</v>
      </c>
      <c r="D406" s="93" t="s">
        <v>28</v>
      </c>
      <c r="E406" s="129"/>
      <c r="F406" s="118"/>
      <c r="G406" s="95" t="s">
        <v>465</v>
      </c>
      <c r="H406" s="322">
        <v>5504005000</v>
      </c>
      <c r="I406" s="322">
        <v>133581071</v>
      </c>
      <c r="J406" s="322">
        <f>191220367-5484211</f>
        <v>185736156</v>
      </c>
      <c r="K406" s="322">
        <f>192800095-K404</f>
        <v>190650095</v>
      </c>
      <c r="L406" s="322">
        <f>187008440-1300000</f>
        <v>185708440</v>
      </c>
      <c r="M406" s="322">
        <f>120246174-4950000-1300000</f>
        <v>113996174</v>
      </c>
      <c r="N406" s="322">
        <v>65400016</v>
      </c>
      <c r="O406" s="322">
        <v>251778064</v>
      </c>
      <c r="P406" s="322">
        <f>290777771-14966136</f>
        <v>275811635</v>
      </c>
      <c r="Q406" s="322">
        <f>236330584-6384776</f>
        <v>229945808</v>
      </c>
      <c r="R406" s="322">
        <v>0</v>
      </c>
      <c r="S406" s="322">
        <v>0</v>
      </c>
      <c r="T406" s="322">
        <v>0</v>
      </c>
      <c r="U406" s="322">
        <f t="shared" si="135"/>
        <v>1632607459</v>
      </c>
      <c r="V406" s="36">
        <f t="shared" si="137"/>
        <v>3871397541</v>
      </c>
      <c r="W406" s="35">
        <v>10645976</v>
      </c>
      <c r="X406" s="247">
        <f>SUM(U406/H406)*100</f>
        <v>29.662172527096175</v>
      </c>
    </row>
    <row r="407" spans="2:24" ht="12.75">
      <c r="B407" s="115">
        <v>31</v>
      </c>
      <c r="C407" s="92" t="s">
        <v>35</v>
      </c>
      <c r="D407" s="93" t="s">
        <v>54</v>
      </c>
      <c r="E407" s="129"/>
      <c r="F407" s="118"/>
      <c r="G407" s="95" t="s">
        <v>466</v>
      </c>
      <c r="H407" s="322">
        <v>60000000</v>
      </c>
      <c r="I407" s="322">
        <v>0</v>
      </c>
      <c r="J407" s="322">
        <v>0</v>
      </c>
      <c r="K407" s="322">
        <v>0</v>
      </c>
      <c r="L407" s="322">
        <v>0</v>
      </c>
      <c r="M407" s="322">
        <v>0</v>
      </c>
      <c r="N407" s="322">
        <v>0</v>
      </c>
      <c r="O407" s="322">
        <v>5722932</v>
      </c>
      <c r="P407" s="322">
        <v>8919764</v>
      </c>
      <c r="Q407" s="322">
        <v>2036776</v>
      </c>
      <c r="R407" s="322">
        <v>0</v>
      </c>
      <c r="S407" s="322">
        <v>0</v>
      </c>
      <c r="T407" s="322">
        <v>0</v>
      </c>
      <c r="U407" s="322">
        <f t="shared" si="135"/>
        <v>16679472</v>
      </c>
      <c r="V407" s="36">
        <f t="shared" si="137"/>
        <v>43320528</v>
      </c>
      <c r="W407" s="35"/>
      <c r="X407" s="247">
        <f>SUM(U407/H407)*100</f>
        <v>27.79912</v>
      </c>
    </row>
    <row r="408" spans="2:24" ht="12.75">
      <c r="B408" s="115">
        <v>31</v>
      </c>
      <c r="C408" s="92" t="s">
        <v>35</v>
      </c>
      <c r="D408" s="93" t="s">
        <v>57</v>
      </c>
      <c r="E408" s="129"/>
      <c r="F408" s="118"/>
      <c r="G408" s="95" t="s">
        <v>467</v>
      </c>
      <c r="H408" s="322">
        <v>1724000</v>
      </c>
      <c r="I408" s="322">
        <v>0</v>
      </c>
      <c r="J408" s="322">
        <v>0</v>
      </c>
      <c r="K408" s="322">
        <v>0</v>
      </c>
      <c r="L408" s="322">
        <v>0</v>
      </c>
      <c r="M408" s="322">
        <v>0</v>
      </c>
      <c r="N408" s="322">
        <v>0</v>
      </c>
      <c r="O408" s="322">
        <v>0</v>
      </c>
      <c r="P408" s="322">
        <v>1723999</v>
      </c>
      <c r="Q408" s="322">
        <v>0</v>
      </c>
      <c r="R408" s="322">
        <v>0</v>
      </c>
      <c r="S408" s="322">
        <v>0</v>
      </c>
      <c r="T408" s="322">
        <v>0</v>
      </c>
      <c r="U408" s="322">
        <f t="shared" si="135"/>
        <v>1723999</v>
      </c>
      <c r="V408" s="36">
        <f t="shared" si="137"/>
        <v>1</v>
      </c>
      <c r="W408" s="35"/>
      <c r="X408" s="247">
        <v>0</v>
      </c>
    </row>
    <row r="409" spans="2:24" ht="12.75">
      <c r="B409" s="115">
        <v>31</v>
      </c>
      <c r="C409" s="92" t="s">
        <v>35</v>
      </c>
      <c r="D409" s="93" t="s">
        <v>61</v>
      </c>
      <c r="E409" s="129"/>
      <c r="F409" s="118"/>
      <c r="G409" s="95" t="s">
        <v>468</v>
      </c>
      <c r="H409" s="322">
        <v>0</v>
      </c>
      <c r="I409" s="322">
        <v>0</v>
      </c>
      <c r="J409" s="322">
        <v>0</v>
      </c>
      <c r="K409" s="322">
        <v>0</v>
      </c>
      <c r="L409" s="322">
        <v>0</v>
      </c>
      <c r="M409" s="322">
        <v>0</v>
      </c>
      <c r="N409" s="322">
        <v>0</v>
      </c>
      <c r="O409" s="322">
        <v>0</v>
      </c>
      <c r="P409" s="322">
        <v>0</v>
      </c>
      <c r="Q409" s="322">
        <v>0</v>
      </c>
      <c r="R409" s="322">
        <v>0</v>
      </c>
      <c r="S409" s="322">
        <v>0</v>
      </c>
      <c r="T409" s="322">
        <v>0</v>
      </c>
      <c r="U409" s="322">
        <f t="shared" si="135"/>
        <v>0</v>
      </c>
      <c r="V409" s="36">
        <f t="shared" si="137"/>
        <v>0</v>
      </c>
      <c r="W409" s="35"/>
      <c r="X409" s="247">
        <v>0</v>
      </c>
    </row>
    <row r="410" spans="2:24" ht="12.75">
      <c r="B410" s="115">
        <v>31</v>
      </c>
      <c r="C410" s="92" t="s">
        <v>35</v>
      </c>
      <c r="D410" s="93" t="s">
        <v>30</v>
      </c>
      <c r="E410" s="129"/>
      <c r="F410" s="118"/>
      <c r="G410" s="95" t="s">
        <v>469</v>
      </c>
      <c r="H410" s="322">
        <v>57900000</v>
      </c>
      <c r="I410" s="322">
        <v>0</v>
      </c>
      <c r="J410" s="322">
        <v>0</v>
      </c>
      <c r="K410" s="322">
        <v>0</v>
      </c>
      <c r="L410" s="322">
        <v>0</v>
      </c>
      <c r="M410" s="322">
        <v>0</v>
      </c>
      <c r="N410" s="322">
        <v>0</v>
      </c>
      <c r="O410" s="322">
        <v>0</v>
      </c>
      <c r="P410" s="322">
        <v>2222373</v>
      </c>
      <c r="Q410" s="322">
        <v>0</v>
      </c>
      <c r="R410" s="322">
        <v>0</v>
      </c>
      <c r="S410" s="322">
        <v>0</v>
      </c>
      <c r="T410" s="322">
        <v>0</v>
      </c>
      <c r="U410" s="322">
        <f t="shared" si="135"/>
        <v>2222373</v>
      </c>
      <c r="V410" s="36">
        <f t="shared" si="137"/>
        <v>55677627</v>
      </c>
      <c r="W410" s="35"/>
      <c r="X410" s="247">
        <v>0</v>
      </c>
    </row>
    <row r="411" spans="2:24" ht="12.75">
      <c r="B411" s="146">
        <v>31</v>
      </c>
      <c r="C411" s="87" t="s">
        <v>10</v>
      </c>
      <c r="D411" s="134"/>
      <c r="E411" s="135"/>
      <c r="F411" s="136"/>
      <c r="G411" s="90" t="s">
        <v>470</v>
      </c>
      <c r="H411" s="226">
        <f>SUM(H412:H414)</f>
        <v>0</v>
      </c>
      <c r="I411" s="226">
        <f>SUM(I412:I414)</f>
        <v>0</v>
      </c>
      <c r="J411" s="226">
        <f aca="true" t="shared" si="138" ref="J411:S411">SUM(J412:J414)</f>
        <v>0</v>
      </c>
      <c r="K411" s="226">
        <f t="shared" si="138"/>
        <v>0</v>
      </c>
      <c r="L411" s="226">
        <f t="shared" si="138"/>
        <v>0</v>
      </c>
      <c r="M411" s="226">
        <f t="shared" si="138"/>
        <v>0</v>
      </c>
      <c r="N411" s="226">
        <f>SUM(N412:N414)</f>
        <v>0</v>
      </c>
      <c r="O411" s="226">
        <f t="shared" si="138"/>
        <v>0</v>
      </c>
      <c r="P411" s="226">
        <f t="shared" si="138"/>
        <v>0</v>
      </c>
      <c r="Q411" s="226">
        <f t="shared" si="138"/>
        <v>0</v>
      </c>
      <c r="R411" s="226">
        <f t="shared" si="138"/>
        <v>0</v>
      </c>
      <c r="S411" s="226">
        <f t="shared" si="138"/>
        <v>0</v>
      </c>
      <c r="T411" s="244">
        <f>SUM(T412:T414)</f>
        <v>0</v>
      </c>
      <c r="U411" s="226">
        <f>SUM(U412:U414)</f>
        <v>0</v>
      </c>
      <c r="V411" s="243">
        <f t="shared" si="137"/>
        <v>0</v>
      </c>
      <c r="W411" s="241">
        <f>SUM(W412:W414)</f>
        <v>0</v>
      </c>
      <c r="X411" s="245">
        <v>0</v>
      </c>
    </row>
    <row r="412" spans="2:24" ht="12.75" customHeight="1" hidden="1">
      <c r="B412" s="115">
        <v>31</v>
      </c>
      <c r="C412" s="92" t="s">
        <v>10</v>
      </c>
      <c r="D412" s="93" t="s">
        <v>14</v>
      </c>
      <c r="E412" s="129"/>
      <c r="F412" s="118"/>
      <c r="G412" s="95" t="s">
        <v>461</v>
      </c>
      <c r="H412" s="322"/>
      <c r="I412" s="322"/>
      <c r="J412" s="322"/>
      <c r="K412" s="322"/>
      <c r="L412" s="322"/>
      <c r="M412" s="322"/>
      <c r="N412" s="322"/>
      <c r="O412" s="322"/>
      <c r="P412" s="322"/>
      <c r="Q412" s="322"/>
      <c r="R412" s="322"/>
      <c r="S412" s="322"/>
      <c r="T412" s="328"/>
      <c r="U412" s="322">
        <f t="shared" si="135"/>
        <v>0</v>
      </c>
      <c r="V412" s="36">
        <f t="shared" si="137"/>
        <v>0</v>
      </c>
      <c r="W412" s="35"/>
      <c r="X412" s="247">
        <v>0</v>
      </c>
    </row>
    <row r="413" spans="2:24" ht="12.75" customHeight="1" hidden="1">
      <c r="B413" s="115">
        <v>31</v>
      </c>
      <c r="C413" s="92" t="s">
        <v>10</v>
      </c>
      <c r="D413" s="93" t="s">
        <v>17</v>
      </c>
      <c r="E413" s="129"/>
      <c r="F413" s="118"/>
      <c r="G413" s="95" t="s">
        <v>462</v>
      </c>
      <c r="H413" s="322"/>
      <c r="I413" s="322"/>
      <c r="J413" s="322"/>
      <c r="K413" s="322"/>
      <c r="L413" s="322"/>
      <c r="M413" s="322"/>
      <c r="N413" s="322"/>
      <c r="O413" s="322"/>
      <c r="P413" s="322"/>
      <c r="Q413" s="322"/>
      <c r="R413" s="322"/>
      <c r="S413" s="322"/>
      <c r="T413" s="328"/>
      <c r="U413" s="322">
        <f t="shared" si="135"/>
        <v>0</v>
      </c>
      <c r="V413" s="36">
        <f t="shared" si="137"/>
        <v>0</v>
      </c>
      <c r="W413" s="35"/>
      <c r="X413" s="247">
        <v>0</v>
      </c>
    </row>
    <row r="414" spans="2:24" ht="12.75" customHeight="1" hidden="1">
      <c r="B414" s="115">
        <v>31</v>
      </c>
      <c r="C414" s="92" t="s">
        <v>10</v>
      </c>
      <c r="D414" s="93" t="s">
        <v>22</v>
      </c>
      <c r="E414" s="129"/>
      <c r="F414" s="118"/>
      <c r="G414" s="95" t="s">
        <v>471</v>
      </c>
      <c r="H414" s="322"/>
      <c r="I414" s="322"/>
      <c r="J414" s="322"/>
      <c r="K414" s="322"/>
      <c r="L414" s="322"/>
      <c r="M414" s="322"/>
      <c r="N414" s="322"/>
      <c r="O414" s="322"/>
      <c r="P414" s="322"/>
      <c r="Q414" s="322"/>
      <c r="R414" s="322"/>
      <c r="S414" s="322"/>
      <c r="T414" s="328"/>
      <c r="U414" s="322">
        <f t="shared" si="135"/>
        <v>0</v>
      </c>
      <c r="V414" s="36">
        <f t="shared" si="137"/>
        <v>0</v>
      </c>
      <c r="W414" s="35"/>
      <c r="X414" s="247">
        <v>0</v>
      </c>
    </row>
    <row r="415" spans="2:24" ht="12.75">
      <c r="B415" s="140"/>
      <c r="C415" s="141"/>
      <c r="D415" s="93"/>
      <c r="E415" s="129"/>
      <c r="F415" s="118"/>
      <c r="G415" s="98"/>
      <c r="H415" s="225"/>
      <c r="I415" s="225"/>
      <c r="J415" s="225"/>
      <c r="K415" s="225"/>
      <c r="L415" s="225"/>
      <c r="M415" s="225"/>
      <c r="N415" s="225"/>
      <c r="O415" s="225"/>
      <c r="P415" s="225"/>
      <c r="Q415" s="225"/>
      <c r="R415" s="225"/>
      <c r="S415" s="225"/>
      <c r="T415" s="34"/>
      <c r="U415" s="322">
        <f t="shared" si="135"/>
        <v>0</v>
      </c>
      <c r="V415" s="38">
        <f t="shared" si="137"/>
        <v>0</v>
      </c>
      <c r="W415" s="37"/>
      <c r="X415" s="247">
        <v>0</v>
      </c>
    </row>
    <row r="416" spans="2:24" ht="12.75">
      <c r="B416" s="148">
        <v>32</v>
      </c>
      <c r="C416" s="82"/>
      <c r="D416" s="144"/>
      <c r="E416" s="143"/>
      <c r="F416" s="145"/>
      <c r="G416" s="85" t="s">
        <v>472</v>
      </c>
      <c r="H416" s="323">
        <f>SUM(H417:H420)</f>
        <v>0</v>
      </c>
      <c r="I416" s="323">
        <f>SUM(I417:I420)</f>
        <v>0</v>
      </c>
      <c r="J416" s="323">
        <f aca="true" t="shared" si="139" ref="J416:S416">SUM(J417:J420)</f>
        <v>-17546777</v>
      </c>
      <c r="K416" s="323">
        <f t="shared" si="139"/>
        <v>-79241611</v>
      </c>
      <c r="L416" s="323">
        <f t="shared" si="139"/>
        <v>96788388</v>
      </c>
      <c r="M416" s="323">
        <f t="shared" si="139"/>
        <v>0</v>
      </c>
      <c r="N416" s="323">
        <f>SUM(N417:N420)</f>
        <v>0</v>
      </c>
      <c r="O416" s="323">
        <f t="shared" si="139"/>
        <v>0</v>
      </c>
      <c r="P416" s="323">
        <f t="shared" si="139"/>
        <v>0</v>
      </c>
      <c r="Q416" s="323">
        <f t="shared" si="139"/>
        <v>0</v>
      </c>
      <c r="R416" s="323">
        <f t="shared" si="139"/>
        <v>0</v>
      </c>
      <c r="S416" s="323">
        <f t="shared" si="139"/>
        <v>0</v>
      </c>
      <c r="T416" s="329">
        <f>SUM(T417:T420)</f>
        <v>0</v>
      </c>
      <c r="U416" s="323">
        <f>SUM(I416:T416)</f>
        <v>0</v>
      </c>
      <c r="V416" s="251">
        <f t="shared" si="137"/>
        <v>0</v>
      </c>
      <c r="W416" s="237">
        <f>SUM(W417:W420)</f>
        <v>0</v>
      </c>
      <c r="X416" s="252">
        <v>0</v>
      </c>
    </row>
    <row r="417" spans="2:24" ht="12.75" customHeight="1" hidden="1">
      <c r="B417" s="146">
        <v>32</v>
      </c>
      <c r="C417" s="87" t="s">
        <v>35</v>
      </c>
      <c r="D417" s="88"/>
      <c r="E417" s="135"/>
      <c r="F417" s="136"/>
      <c r="G417" s="90" t="s">
        <v>132</v>
      </c>
      <c r="H417" s="324"/>
      <c r="I417" s="324"/>
      <c r="J417" s="324"/>
      <c r="K417" s="324"/>
      <c r="L417" s="324"/>
      <c r="M417" s="324"/>
      <c r="N417" s="324"/>
      <c r="O417" s="324"/>
      <c r="P417" s="324"/>
      <c r="Q417" s="324"/>
      <c r="R417" s="324"/>
      <c r="S417" s="324"/>
      <c r="T417" s="330"/>
      <c r="U417" s="325">
        <f>SUM(I417:T417)</f>
        <v>0</v>
      </c>
      <c r="V417" s="255">
        <f t="shared" si="137"/>
        <v>0</v>
      </c>
      <c r="W417" s="253"/>
      <c r="X417" s="245">
        <v>0</v>
      </c>
    </row>
    <row r="418" spans="2:24" ht="12.75">
      <c r="B418" s="146">
        <v>32</v>
      </c>
      <c r="C418" s="87" t="s">
        <v>76</v>
      </c>
      <c r="D418" s="134"/>
      <c r="E418" s="135"/>
      <c r="F418" s="136"/>
      <c r="G418" s="90" t="s">
        <v>133</v>
      </c>
      <c r="H418" s="324">
        <v>0</v>
      </c>
      <c r="I418" s="324"/>
      <c r="J418" s="324">
        <v>-17546777</v>
      </c>
      <c r="K418" s="324">
        <v>-79241611</v>
      </c>
      <c r="L418" s="324">
        <v>96788388</v>
      </c>
      <c r="M418" s="324"/>
      <c r="N418" s="324"/>
      <c r="O418" s="324"/>
      <c r="P418" s="324"/>
      <c r="Q418" s="324"/>
      <c r="R418" s="324"/>
      <c r="S418" s="324"/>
      <c r="T418" s="330"/>
      <c r="U418" s="325">
        <f>SUM(I418:T418)</f>
        <v>0</v>
      </c>
      <c r="V418" s="255">
        <f>H418+U418</f>
        <v>0</v>
      </c>
      <c r="W418" s="253"/>
      <c r="X418" s="245">
        <v>0</v>
      </c>
    </row>
    <row r="419" spans="2:24" ht="12.75" hidden="1">
      <c r="B419" s="146">
        <v>32</v>
      </c>
      <c r="C419" s="87" t="s">
        <v>78</v>
      </c>
      <c r="D419" s="134"/>
      <c r="E419" s="135"/>
      <c r="F419" s="136"/>
      <c r="G419" s="90" t="s">
        <v>473</v>
      </c>
      <c r="H419" s="324"/>
      <c r="I419" s="324"/>
      <c r="J419" s="324"/>
      <c r="K419" s="324"/>
      <c r="L419" s="324"/>
      <c r="M419" s="324"/>
      <c r="N419" s="324"/>
      <c r="O419" s="324"/>
      <c r="P419" s="324"/>
      <c r="Q419" s="324"/>
      <c r="R419" s="324"/>
      <c r="S419" s="324"/>
      <c r="T419" s="330"/>
      <c r="U419" s="325">
        <f>SUM(I419:T419)</f>
        <v>0</v>
      </c>
      <c r="V419" s="255">
        <f t="shared" si="137"/>
        <v>0</v>
      </c>
      <c r="W419" s="253"/>
      <c r="X419" s="245">
        <v>0</v>
      </c>
    </row>
    <row r="420" spans="2:24" ht="12.75" hidden="1">
      <c r="B420" s="146">
        <v>32</v>
      </c>
      <c r="C420" s="87" t="s">
        <v>40</v>
      </c>
      <c r="D420" s="134"/>
      <c r="E420" s="135"/>
      <c r="F420" s="136"/>
      <c r="G420" s="90" t="s">
        <v>136</v>
      </c>
      <c r="H420" s="324"/>
      <c r="I420" s="324"/>
      <c r="J420" s="324"/>
      <c r="K420" s="324"/>
      <c r="L420" s="324"/>
      <c r="M420" s="324"/>
      <c r="N420" s="324"/>
      <c r="O420" s="324"/>
      <c r="P420" s="324"/>
      <c r="Q420" s="324"/>
      <c r="R420" s="324"/>
      <c r="S420" s="324"/>
      <c r="T420" s="330"/>
      <c r="U420" s="325">
        <f>SUM(I420:T420)</f>
        <v>0</v>
      </c>
      <c r="V420" s="255">
        <f t="shared" si="137"/>
        <v>0</v>
      </c>
      <c r="W420" s="253"/>
      <c r="X420" s="245">
        <v>0</v>
      </c>
    </row>
    <row r="421" spans="2:24" ht="12.75">
      <c r="B421" s="140"/>
      <c r="C421" s="92"/>
      <c r="D421" s="142"/>
      <c r="E421" s="129"/>
      <c r="F421" s="118"/>
      <c r="G421" s="98"/>
      <c r="H421" s="225"/>
      <c r="I421" s="225"/>
      <c r="J421" s="225"/>
      <c r="K421" s="225"/>
      <c r="L421" s="225"/>
      <c r="M421" s="225"/>
      <c r="N421" s="225"/>
      <c r="O421" s="225"/>
      <c r="P421" s="225"/>
      <c r="Q421" s="225"/>
      <c r="R421" s="225"/>
      <c r="S421" s="225"/>
      <c r="T421" s="34"/>
      <c r="U421" s="225"/>
      <c r="V421" s="38">
        <f t="shared" si="137"/>
        <v>0</v>
      </c>
      <c r="W421" s="37"/>
      <c r="X421" s="247">
        <v>0</v>
      </c>
    </row>
    <row r="422" spans="2:24" ht="12.75">
      <c r="B422" s="81">
        <v>33</v>
      </c>
      <c r="C422" s="143"/>
      <c r="D422" s="144"/>
      <c r="E422" s="152"/>
      <c r="F422" s="145"/>
      <c r="G422" s="85" t="s">
        <v>474</v>
      </c>
      <c r="H422" s="323">
        <f>SUM(H423+H424)</f>
        <v>40000000</v>
      </c>
      <c r="I422" s="323">
        <f>SUM(I423+I424)</f>
        <v>0</v>
      </c>
      <c r="J422" s="323">
        <f aca="true" t="shared" si="140" ref="J422:S422">SUM(J423+J424)</f>
        <v>0</v>
      </c>
      <c r="K422" s="323">
        <f t="shared" si="140"/>
        <v>37920250</v>
      </c>
      <c r="L422" s="323">
        <f t="shared" si="140"/>
        <v>0</v>
      </c>
      <c r="M422" s="323">
        <f t="shared" si="140"/>
        <v>0</v>
      </c>
      <c r="N422" s="323">
        <f>SUM(N423+N424)</f>
        <v>0</v>
      </c>
      <c r="O422" s="323">
        <f t="shared" si="140"/>
        <v>0</v>
      </c>
      <c r="P422" s="323">
        <f t="shared" si="140"/>
        <v>0</v>
      </c>
      <c r="Q422" s="323">
        <f t="shared" si="140"/>
        <v>0</v>
      </c>
      <c r="R422" s="323">
        <f t="shared" si="140"/>
        <v>0</v>
      </c>
      <c r="S422" s="323">
        <f t="shared" si="140"/>
        <v>0</v>
      </c>
      <c r="T422" s="329">
        <f>SUM(T423+T424)</f>
        <v>0</v>
      </c>
      <c r="U422" s="323">
        <f>SUM(I422:T422)</f>
        <v>37920250</v>
      </c>
      <c r="V422" s="251">
        <f t="shared" si="137"/>
        <v>2079750</v>
      </c>
      <c r="W422" s="237">
        <f>SUM(W423+W424)</f>
        <v>0</v>
      </c>
      <c r="X422" s="252">
        <f>SUM(U422/H422)*100</f>
        <v>94.80062500000001</v>
      </c>
    </row>
    <row r="423" spans="2:24" ht="12.75">
      <c r="B423" s="86">
        <v>33</v>
      </c>
      <c r="C423" s="87" t="s">
        <v>12</v>
      </c>
      <c r="D423" s="134"/>
      <c r="E423" s="135"/>
      <c r="F423" s="136"/>
      <c r="G423" s="90" t="s">
        <v>400</v>
      </c>
      <c r="H423" s="324">
        <v>0</v>
      </c>
      <c r="I423" s="324">
        <v>0</v>
      </c>
      <c r="J423" s="324">
        <v>0</v>
      </c>
      <c r="K423" s="324">
        <v>0</v>
      </c>
      <c r="L423" s="324">
        <v>0</v>
      </c>
      <c r="M423" s="324">
        <v>0</v>
      </c>
      <c r="N423" s="324">
        <v>0</v>
      </c>
      <c r="O423" s="324">
        <v>0</v>
      </c>
      <c r="P423" s="324">
        <v>0</v>
      </c>
      <c r="Q423" s="324">
        <v>0</v>
      </c>
      <c r="R423" s="324">
        <v>0</v>
      </c>
      <c r="S423" s="324">
        <v>0</v>
      </c>
      <c r="T423" s="324">
        <v>0</v>
      </c>
      <c r="U423" s="325">
        <f>SUM(I423:T423)</f>
        <v>0</v>
      </c>
      <c r="V423" s="255">
        <f t="shared" si="137"/>
        <v>0</v>
      </c>
      <c r="W423" s="253"/>
      <c r="X423" s="245">
        <v>0</v>
      </c>
    </row>
    <row r="424" spans="2:24" ht="12.75">
      <c r="B424" s="86">
        <v>33</v>
      </c>
      <c r="C424" s="87" t="s">
        <v>10</v>
      </c>
      <c r="D424" s="134"/>
      <c r="E424" s="135"/>
      <c r="F424" s="136"/>
      <c r="G424" s="90" t="s">
        <v>411</v>
      </c>
      <c r="H424" s="226">
        <f>SUM(H425+H430)</f>
        <v>40000000</v>
      </c>
      <c r="I424" s="226">
        <f>SUM(I425+I430)</f>
        <v>0</v>
      </c>
      <c r="J424" s="226">
        <f aca="true" t="shared" si="141" ref="J424:S424">SUM(J425+J430)</f>
        <v>0</v>
      </c>
      <c r="K424" s="226">
        <f t="shared" si="141"/>
        <v>37920250</v>
      </c>
      <c r="L424" s="226">
        <f t="shared" si="141"/>
        <v>0</v>
      </c>
      <c r="M424" s="226">
        <f t="shared" si="141"/>
        <v>0</v>
      </c>
      <c r="N424" s="226">
        <f>SUM(N425+N430)</f>
        <v>0</v>
      </c>
      <c r="O424" s="226">
        <f t="shared" si="141"/>
        <v>0</v>
      </c>
      <c r="P424" s="226">
        <f t="shared" si="141"/>
        <v>0</v>
      </c>
      <c r="Q424" s="226">
        <f t="shared" si="141"/>
        <v>0</v>
      </c>
      <c r="R424" s="226">
        <f t="shared" si="141"/>
        <v>0</v>
      </c>
      <c r="S424" s="226">
        <f t="shared" si="141"/>
        <v>0</v>
      </c>
      <c r="T424" s="226">
        <f>SUM(T425+T430)</f>
        <v>0</v>
      </c>
      <c r="U424" s="226">
        <f>SUM(U425+U430)</f>
        <v>37920250</v>
      </c>
      <c r="V424" s="243">
        <f t="shared" si="137"/>
        <v>2079750</v>
      </c>
      <c r="W424" s="241">
        <f>SUM(W425+W430)</f>
        <v>0</v>
      </c>
      <c r="X424" s="245">
        <f>SUM(U424/H424)*100</f>
        <v>94.80062500000001</v>
      </c>
    </row>
    <row r="425" spans="2:24" ht="12.75">
      <c r="B425" s="91" t="s">
        <v>475</v>
      </c>
      <c r="C425" s="92" t="s">
        <v>10</v>
      </c>
      <c r="D425" s="93" t="s">
        <v>14</v>
      </c>
      <c r="E425" s="159"/>
      <c r="F425" s="151"/>
      <c r="G425" s="95" t="s">
        <v>476</v>
      </c>
      <c r="H425" s="225">
        <f>SUM(H426:H429)</f>
        <v>40000000</v>
      </c>
      <c r="I425" s="225">
        <f>SUM(I426:I429)</f>
        <v>0</v>
      </c>
      <c r="J425" s="225">
        <f aca="true" t="shared" si="142" ref="J425:S425">SUM(J426:J429)</f>
        <v>0</v>
      </c>
      <c r="K425" s="225">
        <f t="shared" si="142"/>
        <v>37920250</v>
      </c>
      <c r="L425" s="225">
        <f t="shared" si="142"/>
        <v>0</v>
      </c>
      <c r="M425" s="225">
        <f t="shared" si="142"/>
        <v>0</v>
      </c>
      <c r="N425" s="225">
        <f>SUM(N426:N429)</f>
        <v>0</v>
      </c>
      <c r="O425" s="225">
        <f t="shared" si="142"/>
        <v>0</v>
      </c>
      <c r="P425" s="225">
        <f t="shared" si="142"/>
        <v>0</v>
      </c>
      <c r="Q425" s="225">
        <f t="shared" si="142"/>
        <v>0</v>
      </c>
      <c r="R425" s="225">
        <f t="shared" si="142"/>
        <v>0</v>
      </c>
      <c r="S425" s="225">
        <f t="shared" si="142"/>
        <v>0</v>
      </c>
      <c r="T425" s="225">
        <f>SUM(T426:T429)</f>
        <v>0</v>
      </c>
      <c r="U425" s="225">
        <f>SUM(U426:U429)</f>
        <v>37920250</v>
      </c>
      <c r="V425" s="38">
        <f t="shared" si="137"/>
        <v>2079750</v>
      </c>
      <c r="W425" s="37"/>
      <c r="X425" s="247">
        <f>SUM(U425/H425)*100</f>
        <v>94.80062500000001</v>
      </c>
    </row>
    <row r="426" spans="2:24" ht="12.75">
      <c r="B426" s="91"/>
      <c r="C426" s="92"/>
      <c r="D426" s="93"/>
      <c r="E426" s="96" t="s">
        <v>14</v>
      </c>
      <c r="F426" s="151"/>
      <c r="G426" s="98" t="s">
        <v>477</v>
      </c>
      <c r="H426" s="322">
        <v>0</v>
      </c>
      <c r="I426" s="322">
        <v>0</v>
      </c>
      <c r="J426" s="322">
        <v>0</v>
      </c>
      <c r="K426" s="322">
        <v>0</v>
      </c>
      <c r="L426" s="322">
        <v>0</v>
      </c>
      <c r="M426" s="322">
        <v>0</v>
      </c>
      <c r="N426" s="322">
        <v>0</v>
      </c>
      <c r="O426" s="322">
        <v>0</v>
      </c>
      <c r="P426" s="322">
        <v>0</v>
      </c>
      <c r="Q426" s="322">
        <v>0</v>
      </c>
      <c r="R426" s="322">
        <v>0</v>
      </c>
      <c r="S426" s="322">
        <v>0</v>
      </c>
      <c r="T426" s="322">
        <v>0</v>
      </c>
      <c r="U426" s="322">
        <f aca="true" t="shared" si="143" ref="U426:U431">SUM(I426:T426)</f>
        <v>0</v>
      </c>
      <c r="V426" s="36">
        <f t="shared" si="137"/>
        <v>0</v>
      </c>
      <c r="W426" s="35"/>
      <c r="X426" s="247">
        <v>0</v>
      </c>
    </row>
    <row r="427" spans="2:24" ht="12.75">
      <c r="B427" s="91"/>
      <c r="C427" s="92"/>
      <c r="D427" s="93"/>
      <c r="E427" s="96" t="s">
        <v>17</v>
      </c>
      <c r="F427" s="151"/>
      <c r="G427" s="98" t="s">
        <v>478</v>
      </c>
      <c r="H427" s="322">
        <v>28000000</v>
      </c>
      <c r="I427" s="322">
        <v>0</v>
      </c>
      <c r="J427" s="322">
        <v>0</v>
      </c>
      <c r="K427" s="322">
        <v>27505000</v>
      </c>
      <c r="L427" s="322">
        <v>0</v>
      </c>
      <c r="M427" s="322">
        <v>0</v>
      </c>
      <c r="N427" s="322">
        <v>0</v>
      </c>
      <c r="O427" s="322">
        <v>0</v>
      </c>
      <c r="P427" s="322">
        <v>0</v>
      </c>
      <c r="Q427" s="322">
        <v>0</v>
      </c>
      <c r="R427" s="322">
        <v>0</v>
      </c>
      <c r="S427" s="322">
        <v>0</v>
      </c>
      <c r="T427" s="322">
        <v>0</v>
      </c>
      <c r="U427" s="322">
        <f t="shared" si="143"/>
        <v>27505000</v>
      </c>
      <c r="V427" s="36">
        <f t="shared" si="137"/>
        <v>495000</v>
      </c>
      <c r="W427" s="35"/>
      <c r="X427" s="247">
        <f>SUM(U427/H427)*100</f>
        <v>98.23214285714286</v>
      </c>
    </row>
    <row r="428" spans="2:24" ht="12.75">
      <c r="B428" s="91"/>
      <c r="C428" s="92"/>
      <c r="D428" s="93"/>
      <c r="E428" s="96" t="s">
        <v>22</v>
      </c>
      <c r="F428" s="151"/>
      <c r="G428" s="98" t="s">
        <v>479</v>
      </c>
      <c r="H428" s="322">
        <v>12000000</v>
      </c>
      <c r="I428" s="322">
        <v>0</v>
      </c>
      <c r="J428" s="322">
        <v>0</v>
      </c>
      <c r="K428" s="322">
        <v>10415250</v>
      </c>
      <c r="L428" s="322">
        <v>0</v>
      </c>
      <c r="M428" s="322">
        <v>0</v>
      </c>
      <c r="N428" s="322">
        <v>0</v>
      </c>
      <c r="O428" s="322">
        <v>0</v>
      </c>
      <c r="P428" s="322">
        <v>0</v>
      </c>
      <c r="Q428" s="322">
        <v>0</v>
      </c>
      <c r="R428" s="322">
        <v>0</v>
      </c>
      <c r="S428" s="322">
        <v>0</v>
      </c>
      <c r="T428" s="322">
        <v>0</v>
      </c>
      <c r="U428" s="322">
        <f t="shared" si="143"/>
        <v>10415250</v>
      </c>
      <c r="V428" s="36">
        <f t="shared" si="137"/>
        <v>1584750</v>
      </c>
      <c r="W428" s="35"/>
      <c r="X428" s="247">
        <f>SUM(U428/H428)*100</f>
        <v>86.79375</v>
      </c>
    </row>
    <row r="429" spans="2:24" ht="12.75">
      <c r="B429" s="91"/>
      <c r="C429" s="92"/>
      <c r="D429" s="93"/>
      <c r="E429" s="96" t="s">
        <v>28</v>
      </c>
      <c r="F429" s="151"/>
      <c r="G429" s="98" t="s">
        <v>480</v>
      </c>
      <c r="H429" s="322">
        <v>0</v>
      </c>
      <c r="I429" s="322">
        <v>0</v>
      </c>
      <c r="J429" s="322">
        <v>0</v>
      </c>
      <c r="K429" s="322">
        <v>0</v>
      </c>
      <c r="L429" s="322">
        <v>0</v>
      </c>
      <c r="M429" s="322">
        <v>0</v>
      </c>
      <c r="N429" s="322">
        <v>0</v>
      </c>
      <c r="O429" s="322">
        <v>0</v>
      </c>
      <c r="P429" s="322">
        <v>0</v>
      </c>
      <c r="Q429" s="322">
        <v>0</v>
      </c>
      <c r="R429" s="322">
        <v>0</v>
      </c>
      <c r="S429" s="322">
        <v>0</v>
      </c>
      <c r="T429" s="322">
        <v>0</v>
      </c>
      <c r="U429" s="322">
        <f t="shared" si="143"/>
        <v>0</v>
      </c>
      <c r="V429" s="36">
        <f t="shared" si="137"/>
        <v>0</v>
      </c>
      <c r="W429" s="35"/>
      <c r="X429" s="247">
        <v>0</v>
      </c>
    </row>
    <row r="430" spans="2:24" ht="12.75">
      <c r="B430" s="91" t="s">
        <v>475</v>
      </c>
      <c r="C430" s="92" t="s">
        <v>10</v>
      </c>
      <c r="D430" s="93" t="s">
        <v>429</v>
      </c>
      <c r="E430" s="96"/>
      <c r="F430" s="151"/>
      <c r="G430" s="95" t="s">
        <v>430</v>
      </c>
      <c r="H430" s="322">
        <f>+H431</f>
        <v>0</v>
      </c>
      <c r="I430" s="322">
        <f aca="true" t="shared" si="144" ref="I430:T430">+I431</f>
        <v>0</v>
      </c>
      <c r="J430" s="322">
        <f t="shared" si="144"/>
        <v>0</v>
      </c>
      <c r="K430" s="322">
        <f t="shared" si="144"/>
        <v>0</v>
      </c>
      <c r="L430" s="322">
        <f t="shared" si="144"/>
        <v>0</v>
      </c>
      <c r="M430" s="322">
        <f t="shared" si="144"/>
        <v>0</v>
      </c>
      <c r="N430" s="322">
        <f t="shared" si="144"/>
        <v>0</v>
      </c>
      <c r="O430" s="322">
        <f t="shared" si="144"/>
        <v>0</v>
      </c>
      <c r="P430" s="322">
        <f t="shared" si="144"/>
        <v>0</v>
      </c>
      <c r="Q430" s="322">
        <f t="shared" si="144"/>
        <v>0</v>
      </c>
      <c r="R430" s="322">
        <f t="shared" si="144"/>
        <v>0</v>
      </c>
      <c r="S430" s="322">
        <f t="shared" si="144"/>
        <v>0</v>
      </c>
      <c r="T430" s="322">
        <f t="shared" si="144"/>
        <v>0</v>
      </c>
      <c r="U430" s="322">
        <f t="shared" si="143"/>
        <v>0</v>
      </c>
      <c r="V430" s="36">
        <f t="shared" si="137"/>
        <v>0</v>
      </c>
      <c r="W430" s="35"/>
      <c r="X430" s="247">
        <v>0</v>
      </c>
    </row>
    <row r="431" spans="2:24" ht="12.75">
      <c r="B431" s="140"/>
      <c r="C431" s="141"/>
      <c r="D431" s="142"/>
      <c r="E431" s="96" t="s">
        <v>22</v>
      </c>
      <c r="F431" s="96" t="s">
        <v>14</v>
      </c>
      <c r="G431" s="98" t="s">
        <v>556</v>
      </c>
      <c r="H431" s="225">
        <v>0</v>
      </c>
      <c r="I431" s="225">
        <v>0</v>
      </c>
      <c r="J431" s="225">
        <v>0</v>
      </c>
      <c r="K431" s="225">
        <v>0</v>
      </c>
      <c r="L431" s="225">
        <v>0</v>
      </c>
      <c r="M431" s="225">
        <v>0</v>
      </c>
      <c r="N431" s="225">
        <v>0</v>
      </c>
      <c r="O431" s="225">
        <v>0</v>
      </c>
      <c r="P431" s="225">
        <v>0</v>
      </c>
      <c r="Q431" s="225">
        <v>0</v>
      </c>
      <c r="R431" s="225">
        <v>0</v>
      </c>
      <c r="S431" s="225">
        <v>0</v>
      </c>
      <c r="T431" s="225">
        <v>0</v>
      </c>
      <c r="U431" s="322">
        <f t="shared" si="143"/>
        <v>0</v>
      </c>
      <c r="V431" s="38">
        <f t="shared" si="137"/>
        <v>0</v>
      </c>
      <c r="W431" s="37"/>
      <c r="X431" s="247">
        <v>0</v>
      </c>
    </row>
    <row r="432" spans="2:24" ht="12.75">
      <c r="B432" s="81" t="s">
        <v>481</v>
      </c>
      <c r="C432" s="143"/>
      <c r="D432" s="144"/>
      <c r="E432" s="143"/>
      <c r="F432" s="145"/>
      <c r="G432" s="85" t="s">
        <v>482</v>
      </c>
      <c r="H432" s="323">
        <f>SUM(H433+H435+H439+H442)</f>
        <v>17315000</v>
      </c>
      <c r="I432" s="323">
        <f>SUM(I433+I435+I439+I442)</f>
        <v>0</v>
      </c>
      <c r="J432" s="323">
        <f aca="true" t="shared" si="145" ref="J432:S432">SUM(J433+J435+J439+J442)</f>
        <v>0</v>
      </c>
      <c r="K432" s="323">
        <f t="shared" si="145"/>
        <v>0</v>
      </c>
      <c r="L432" s="323">
        <f t="shared" si="145"/>
        <v>0</v>
      </c>
      <c r="M432" s="323">
        <f t="shared" si="145"/>
        <v>0</v>
      </c>
      <c r="N432" s="323">
        <f>SUM(N433+N435+N439+N442)</f>
        <v>0</v>
      </c>
      <c r="O432" s="323">
        <f t="shared" si="145"/>
        <v>0</v>
      </c>
      <c r="P432" s="323">
        <f t="shared" si="145"/>
        <v>0</v>
      </c>
      <c r="Q432" s="323">
        <f t="shared" si="145"/>
        <v>0</v>
      </c>
      <c r="R432" s="323">
        <f t="shared" si="145"/>
        <v>0</v>
      </c>
      <c r="S432" s="323">
        <f t="shared" si="145"/>
        <v>0</v>
      </c>
      <c r="T432" s="323">
        <f>SUM(T433+T435+T439+T442)</f>
        <v>0</v>
      </c>
      <c r="U432" s="323">
        <f>SUM(U433+U435+U439+U442)</f>
        <v>0</v>
      </c>
      <c r="V432" s="251">
        <f t="shared" si="137"/>
        <v>17315000</v>
      </c>
      <c r="W432" s="237">
        <f>SUM(W433+W436+W439+W442)</f>
        <v>0</v>
      </c>
      <c r="X432" s="252">
        <f>SUM(U432/H432)*100</f>
        <v>0</v>
      </c>
    </row>
    <row r="433" spans="2:24" ht="12.75">
      <c r="B433" s="86" t="s">
        <v>481</v>
      </c>
      <c r="C433" s="87" t="s">
        <v>12</v>
      </c>
      <c r="D433" s="134"/>
      <c r="E433" s="135"/>
      <c r="F433" s="136"/>
      <c r="G433" s="90" t="s">
        <v>483</v>
      </c>
      <c r="H433" s="226">
        <f>SUM(H434)</f>
        <v>17315000</v>
      </c>
      <c r="I433" s="226">
        <f aca="true" t="shared" si="146" ref="I433:T433">SUM(I434)</f>
        <v>0</v>
      </c>
      <c r="J433" s="226">
        <f t="shared" si="146"/>
        <v>0</v>
      </c>
      <c r="K433" s="226">
        <f t="shared" si="146"/>
        <v>0</v>
      </c>
      <c r="L433" s="226">
        <f t="shared" si="146"/>
        <v>0</v>
      </c>
      <c r="M433" s="226">
        <f t="shared" si="146"/>
        <v>0</v>
      </c>
      <c r="N433" s="226">
        <f t="shared" si="146"/>
        <v>0</v>
      </c>
      <c r="O433" s="226">
        <f t="shared" si="146"/>
        <v>0</v>
      </c>
      <c r="P433" s="226">
        <f t="shared" si="146"/>
        <v>0</v>
      </c>
      <c r="Q433" s="226">
        <f t="shared" si="146"/>
        <v>0</v>
      </c>
      <c r="R433" s="226">
        <f t="shared" si="146"/>
        <v>0</v>
      </c>
      <c r="S433" s="226">
        <f t="shared" si="146"/>
        <v>0</v>
      </c>
      <c r="T433" s="226">
        <f t="shared" si="146"/>
        <v>0</v>
      </c>
      <c r="U433" s="226">
        <f>SUM(I433:T433)</f>
        <v>0</v>
      </c>
      <c r="V433" s="243">
        <f t="shared" si="137"/>
        <v>17315000</v>
      </c>
      <c r="W433" s="241">
        <f>SUM(W434:W435)</f>
        <v>0</v>
      </c>
      <c r="X433" s="245">
        <f>SUM(U433/H433)*100</f>
        <v>0</v>
      </c>
    </row>
    <row r="434" spans="2:24" ht="12.75">
      <c r="B434" s="91" t="s">
        <v>481</v>
      </c>
      <c r="C434" s="92" t="s">
        <v>12</v>
      </c>
      <c r="D434" s="93" t="s">
        <v>17</v>
      </c>
      <c r="E434" s="129"/>
      <c r="F434" s="118"/>
      <c r="G434" s="95" t="s">
        <v>148</v>
      </c>
      <c r="H434" s="322">
        <v>17315000</v>
      </c>
      <c r="I434" s="322">
        <v>0</v>
      </c>
      <c r="J434" s="322">
        <v>0</v>
      </c>
      <c r="K434" s="322">
        <v>0</v>
      </c>
      <c r="L434" s="322">
        <v>0</v>
      </c>
      <c r="M434" s="322">
        <v>0</v>
      </c>
      <c r="N434" s="322">
        <v>0</v>
      </c>
      <c r="O434" s="322">
        <v>0</v>
      </c>
      <c r="P434" s="322">
        <v>0</v>
      </c>
      <c r="Q434" s="322">
        <v>0</v>
      </c>
      <c r="R434" s="322">
        <v>0</v>
      </c>
      <c r="S434" s="322">
        <v>0</v>
      </c>
      <c r="T434" s="322">
        <v>0</v>
      </c>
      <c r="U434" s="322">
        <f aca="true" t="shared" si="147" ref="U434:U445">SUM(I434:T434)</f>
        <v>0</v>
      </c>
      <c r="V434" s="36">
        <f t="shared" si="137"/>
        <v>17315000</v>
      </c>
      <c r="W434" s="35"/>
      <c r="X434" s="247">
        <f>SUM(U434/H434)*100</f>
        <v>0</v>
      </c>
    </row>
    <row r="435" spans="2:24" ht="12.75">
      <c r="B435" s="91" t="s">
        <v>481</v>
      </c>
      <c r="C435" s="92" t="s">
        <v>10</v>
      </c>
      <c r="D435" s="93" t="s">
        <v>17</v>
      </c>
      <c r="E435" s="129"/>
      <c r="F435" s="118"/>
      <c r="G435" s="95" t="s">
        <v>538</v>
      </c>
      <c r="H435" s="322">
        <v>0</v>
      </c>
      <c r="I435" s="322">
        <v>0</v>
      </c>
      <c r="J435" s="322">
        <v>0</v>
      </c>
      <c r="K435" s="322">
        <v>0</v>
      </c>
      <c r="L435" s="322">
        <v>0</v>
      </c>
      <c r="M435" s="322">
        <v>0</v>
      </c>
      <c r="N435" s="322">
        <v>0</v>
      </c>
      <c r="O435" s="322">
        <v>0</v>
      </c>
      <c r="P435" s="322">
        <v>0</v>
      </c>
      <c r="Q435" s="322">
        <v>0</v>
      </c>
      <c r="R435" s="322">
        <v>0</v>
      </c>
      <c r="S435" s="322">
        <v>0</v>
      </c>
      <c r="T435" s="322">
        <v>0</v>
      </c>
      <c r="U435" s="322">
        <f t="shared" si="147"/>
        <v>0</v>
      </c>
      <c r="V435" s="36">
        <f t="shared" si="137"/>
        <v>0</v>
      </c>
      <c r="W435" s="35"/>
      <c r="X435" s="247">
        <v>0</v>
      </c>
    </row>
    <row r="436" spans="2:24" ht="12.75" hidden="1">
      <c r="B436" s="86" t="s">
        <v>481</v>
      </c>
      <c r="C436" s="87" t="s">
        <v>10</v>
      </c>
      <c r="D436" s="134"/>
      <c r="E436" s="135"/>
      <c r="F436" s="136"/>
      <c r="G436" s="90" t="s">
        <v>484</v>
      </c>
      <c r="H436" s="226">
        <f>SUM(H437:H438)</f>
        <v>0</v>
      </c>
      <c r="I436" s="226">
        <f>SUM(I437:I438)</f>
        <v>0</v>
      </c>
      <c r="J436" s="226">
        <f aca="true" t="shared" si="148" ref="J436:S436">SUM(J437:J438)</f>
        <v>0</v>
      </c>
      <c r="K436" s="226">
        <f t="shared" si="148"/>
        <v>0</v>
      </c>
      <c r="L436" s="226">
        <f t="shared" si="148"/>
        <v>0</v>
      </c>
      <c r="M436" s="226">
        <f t="shared" si="148"/>
        <v>0</v>
      </c>
      <c r="N436" s="226">
        <f t="shared" si="148"/>
        <v>0</v>
      </c>
      <c r="O436" s="226">
        <f t="shared" si="148"/>
        <v>0</v>
      </c>
      <c r="P436" s="226">
        <f t="shared" si="148"/>
        <v>0</v>
      </c>
      <c r="Q436" s="226">
        <f t="shared" si="148"/>
        <v>0</v>
      </c>
      <c r="R436" s="226">
        <f t="shared" si="148"/>
        <v>0</v>
      </c>
      <c r="S436" s="226">
        <f t="shared" si="148"/>
        <v>0</v>
      </c>
      <c r="T436" s="226">
        <f>SUM(T437:T438)</f>
        <v>0</v>
      </c>
      <c r="U436" s="226">
        <f>SUM(I436:T436)</f>
        <v>0</v>
      </c>
      <c r="V436" s="243">
        <f aca="true" t="shared" si="149" ref="V436:V446">H436-U436</f>
        <v>0</v>
      </c>
      <c r="W436" s="241">
        <f>SUM(W437:W438)</f>
        <v>0</v>
      </c>
      <c r="X436" s="245">
        <v>0</v>
      </c>
    </row>
    <row r="437" spans="2:24" ht="12.75" hidden="1">
      <c r="B437" s="91" t="s">
        <v>481</v>
      </c>
      <c r="C437" s="92" t="s">
        <v>10</v>
      </c>
      <c r="D437" s="93" t="s">
        <v>17</v>
      </c>
      <c r="E437" s="129"/>
      <c r="F437" s="118"/>
      <c r="G437" s="95" t="s">
        <v>148</v>
      </c>
      <c r="H437" s="322"/>
      <c r="I437" s="322"/>
      <c r="J437" s="322"/>
      <c r="K437" s="322"/>
      <c r="L437" s="322"/>
      <c r="M437" s="322"/>
      <c r="N437" s="322"/>
      <c r="O437" s="322"/>
      <c r="P437" s="322"/>
      <c r="Q437" s="322"/>
      <c r="R437" s="322"/>
      <c r="S437" s="322"/>
      <c r="T437" s="322"/>
      <c r="U437" s="322">
        <f t="shared" si="147"/>
        <v>0</v>
      </c>
      <c r="V437" s="36">
        <f t="shared" si="149"/>
        <v>0</v>
      </c>
      <c r="W437" s="35"/>
      <c r="X437" s="247">
        <v>0</v>
      </c>
    </row>
    <row r="438" spans="2:24" ht="12.75" hidden="1">
      <c r="B438" s="91" t="s">
        <v>481</v>
      </c>
      <c r="C438" s="92" t="s">
        <v>10</v>
      </c>
      <c r="D438" s="93" t="s">
        <v>22</v>
      </c>
      <c r="E438" s="129"/>
      <c r="F438" s="118"/>
      <c r="G438" s="95" t="s">
        <v>149</v>
      </c>
      <c r="H438" s="322"/>
      <c r="I438" s="322"/>
      <c r="J438" s="322"/>
      <c r="K438" s="322"/>
      <c r="L438" s="322"/>
      <c r="M438" s="322"/>
      <c r="N438" s="322"/>
      <c r="O438" s="322"/>
      <c r="P438" s="322"/>
      <c r="Q438" s="322"/>
      <c r="R438" s="322"/>
      <c r="S438" s="322"/>
      <c r="T438" s="322"/>
      <c r="U438" s="322">
        <f t="shared" si="147"/>
        <v>0</v>
      </c>
      <c r="V438" s="36">
        <f t="shared" si="149"/>
        <v>0</v>
      </c>
      <c r="W438" s="35"/>
      <c r="X438" s="247">
        <v>0</v>
      </c>
    </row>
    <row r="439" spans="2:24" ht="12.75" hidden="1">
      <c r="B439" s="86" t="s">
        <v>481</v>
      </c>
      <c r="C439" s="87" t="s">
        <v>42</v>
      </c>
      <c r="D439" s="134"/>
      <c r="E439" s="135"/>
      <c r="F439" s="136"/>
      <c r="G439" s="90" t="s">
        <v>485</v>
      </c>
      <c r="H439" s="226">
        <f>SUM(H440:H441)</f>
        <v>0</v>
      </c>
      <c r="I439" s="226">
        <f>SUM(I440:I441)</f>
        <v>0</v>
      </c>
      <c r="J439" s="226">
        <f aca="true" t="shared" si="150" ref="J439:S439">SUM(J440:J441)</f>
        <v>0</v>
      </c>
      <c r="K439" s="226">
        <f t="shared" si="150"/>
        <v>0</v>
      </c>
      <c r="L439" s="226">
        <f t="shared" si="150"/>
        <v>0</v>
      </c>
      <c r="M439" s="226">
        <f t="shared" si="150"/>
        <v>0</v>
      </c>
      <c r="N439" s="226">
        <f t="shared" si="150"/>
        <v>0</v>
      </c>
      <c r="O439" s="226">
        <f t="shared" si="150"/>
        <v>0</v>
      </c>
      <c r="P439" s="226">
        <f t="shared" si="150"/>
        <v>0</v>
      </c>
      <c r="Q439" s="226">
        <f t="shared" si="150"/>
        <v>0</v>
      </c>
      <c r="R439" s="226">
        <f t="shared" si="150"/>
        <v>0</v>
      </c>
      <c r="S439" s="226">
        <f t="shared" si="150"/>
        <v>0</v>
      </c>
      <c r="T439" s="226">
        <f>SUM(T440:T441)</f>
        <v>0</v>
      </c>
      <c r="U439" s="226">
        <f>SUM(I439:T439)</f>
        <v>0</v>
      </c>
      <c r="V439" s="243">
        <f t="shared" si="149"/>
        <v>0</v>
      </c>
      <c r="W439" s="241">
        <f>SUM(W440:W441)</f>
        <v>0</v>
      </c>
      <c r="X439" s="245">
        <v>0</v>
      </c>
    </row>
    <row r="440" spans="2:24" ht="12.75" hidden="1">
      <c r="B440" s="91" t="s">
        <v>481</v>
      </c>
      <c r="C440" s="92" t="s">
        <v>42</v>
      </c>
      <c r="D440" s="93" t="s">
        <v>17</v>
      </c>
      <c r="E440" s="129"/>
      <c r="F440" s="118"/>
      <c r="G440" s="95" t="s">
        <v>148</v>
      </c>
      <c r="H440" s="322"/>
      <c r="I440" s="322"/>
      <c r="J440" s="322"/>
      <c r="K440" s="322"/>
      <c r="L440" s="322"/>
      <c r="M440" s="322"/>
      <c r="N440" s="322"/>
      <c r="O440" s="322"/>
      <c r="P440" s="322"/>
      <c r="Q440" s="322"/>
      <c r="R440" s="322"/>
      <c r="S440" s="322"/>
      <c r="T440" s="322"/>
      <c r="U440" s="322">
        <f t="shared" si="147"/>
        <v>0</v>
      </c>
      <c r="V440" s="36">
        <f t="shared" si="149"/>
        <v>0</v>
      </c>
      <c r="W440" s="35"/>
      <c r="X440" s="247">
        <v>0</v>
      </c>
    </row>
    <row r="441" spans="2:24" ht="12.75" hidden="1">
      <c r="B441" s="91" t="s">
        <v>481</v>
      </c>
      <c r="C441" s="92" t="s">
        <v>42</v>
      </c>
      <c r="D441" s="93" t="s">
        <v>22</v>
      </c>
      <c r="E441" s="129"/>
      <c r="F441" s="118"/>
      <c r="G441" s="95" t="s">
        <v>149</v>
      </c>
      <c r="H441" s="322"/>
      <c r="I441" s="322"/>
      <c r="J441" s="322"/>
      <c r="K441" s="322"/>
      <c r="L441" s="322"/>
      <c r="M441" s="322"/>
      <c r="N441" s="322"/>
      <c r="O441" s="322"/>
      <c r="P441" s="322"/>
      <c r="Q441" s="322"/>
      <c r="R441" s="322"/>
      <c r="S441" s="322"/>
      <c r="T441" s="322"/>
      <c r="U441" s="322">
        <f t="shared" si="147"/>
        <v>0</v>
      </c>
      <c r="V441" s="36">
        <f t="shared" si="149"/>
        <v>0</v>
      </c>
      <c r="W441" s="35"/>
      <c r="X441" s="247">
        <v>0</v>
      </c>
    </row>
    <row r="442" spans="2:24" ht="12.75">
      <c r="B442" s="86" t="s">
        <v>481</v>
      </c>
      <c r="C442" s="87" t="s">
        <v>78</v>
      </c>
      <c r="D442" s="134"/>
      <c r="E442" s="135"/>
      <c r="F442" s="136"/>
      <c r="G442" s="90" t="s">
        <v>486</v>
      </c>
      <c r="H442" s="324">
        <v>0</v>
      </c>
      <c r="I442" s="324">
        <v>0</v>
      </c>
      <c r="J442" s="324">
        <v>0</v>
      </c>
      <c r="K442" s="324">
        <v>0</v>
      </c>
      <c r="L442" s="324">
        <v>0</v>
      </c>
      <c r="M442" s="324">
        <v>0</v>
      </c>
      <c r="N442" s="324">
        <v>0</v>
      </c>
      <c r="O442" s="324">
        <v>0</v>
      </c>
      <c r="P442" s="324">
        <v>0</v>
      </c>
      <c r="Q442" s="324">
        <v>0</v>
      </c>
      <c r="R442" s="324">
        <v>0</v>
      </c>
      <c r="S442" s="324">
        <v>0</v>
      </c>
      <c r="T442" s="324">
        <v>0</v>
      </c>
      <c r="U442" s="324">
        <f>SUM(I442:T442)</f>
        <v>0</v>
      </c>
      <c r="V442" s="255">
        <f t="shared" si="149"/>
        <v>0</v>
      </c>
      <c r="W442" s="253">
        <v>0</v>
      </c>
      <c r="X442" s="245" t="e">
        <f>SUM(U442/H442)*100</f>
        <v>#DIV/0!</v>
      </c>
    </row>
    <row r="443" spans="2:24" ht="12.75">
      <c r="B443" s="109"/>
      <c r="C443" s="110"/>
      <c r="D443" s="160"/>
      <c r="E443" s="161"/>
      <c r="F443" s="150"/>
      <c r="G443" s="121"/>
      <c r="H443" s="231"/>
      <c r="I443" s="231"/>
      <c r="J443" s="231"/>
      <c r="K443" s="231"/>
      <c r="L443" s="231"/>
      <c r="M443" s="231"/>
      <c r="N443" s="231"/>
      <c r="O443" s="231"/>
      <c r="P443" s="231"/>
      <c r="Q443" s="231"/>
      <c r="R443" s="231"/>
      <c r="S443" s="231"/>
      <c r="T443" s="231"/>
      <c r="U443" s="322">
        <f t="shared" si="147"/>
        <v>0</v>
      </c>
      <c r="V443" s="42">
        <f t="shared" si="149"/>
        <v>0</v>
      </c>
      <c r="W443" s="41"/>
      <c r="X443" s="247">
        <v>0</v>
      </c>
    </row>
    <row r="444" spans="2:24" ht="12.75">
      <c r="B444" s="81" t="s">
        <v>487</v>
      </c>
      <c r="C444" s="143"/>
      <c r="D444" s="144"/>
      <c r="E444" s="143"/>
      <c r="F444" s="145"/>
      <c r="G444" s="85" t="s">
        <v>488</v>
      </c>
      <c r="H444" s="326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326"/>
      <c r="T444" s="326"/>
      <c r="U444" s="326"/>
      <c r="V444" s="258">
        <f t="shared" si="149"/>
        <v>0</v>
      </c>
      <c r="W444" s="257"/>
      <c r="X444" s="252">
        <v>0</v>
      </c>
    </row>
    <row r="445" spans="2:24" ht="13.5" thickBot="1">
      <c r="B445" s="140"/>
      <c r="C445" s="141"/>
      <c r="D445" s="142"/>
      <c r="E445" s="129"/>
      <c r="F445" s="118"/>
      <c r="G445" s="98"/>
      <c r="H445" s="225"/>
      <c r="I445" s="225"/>
      <c r="J445" s="225"/>
      <c r="K445" s="225"/>
      <c r="L445" s="225"/>
      <c r="M445" s="225"/>
      <c r="N445" s="225"/>
      <c r="O445" s="225"/>
      <c r="P445" s="225"/>
      <c r="Q445" s="225"/>
      <c r="R445" s="225"/>
      <c r="S445" s="225"/>
      <c r="T445" s="225"/>
      <c r="U445" s="322">
        <f t="shared" si="147"/>
        <v>0</v>
      </c>
      <c r="V445" s="38">
        <f t="shared" si="149"/>
        <v>0</v>
      </c>
      <c r="W445" s="37"/>
      <c r="X445" s="338">
        <v>0</v>
      </c>
    </row>
    <row r="446" spans="2:24" ht="13.5" thickBot="1">
      <c r="B446" s="162"/>
      <c r="C446" s="163"/>
      <c r="D446" s="164"/>
      <c r="E446" s="163"/>
      <c r="F446" s="165"/>
      <c r="G446" s="166" t="s">
        <v>489</v>
      </c>
      <c r="H446" s="327">
        <f aca="true" t="shared" si="151" ref="H446:U446">SUM(H8+H222+H317+H323+H362+H365+H372+H389+H398+H416+H422+H432+H444)</f>
        <v>44380508000</v>
      </c>
      <c r="I446" s="327">
        <f t="shared" si="151"/>
        <v>2306338480</v>
      </c>
      <c r="J446" s="327">
        <f t="shared" si="151"/>
        <v>2087786501</v>
      </c>
      <c r="K446" s="327">
        <f t="shared" si="151"/>
        <v>1992804077</v>
      </c>
      <c r="L446" s="320">
        <f t="shared" si="151"/>
        <v>4529847141</v>
      </c>
      <c r="M446" s="46">
        <f t="shared" si="151"/>
        <v>2787629602</v>
      </c>
      <c r="N446" s="46">
        <f t="shared" si="151"/>
        <v>1915701309</v>
      </c>
      <c r="O446" s="46">
        <f t="shared" si="151"/>
        <v>9950859521</v>
      </c>
      <c r="P446" s="46">
        <f t="shared" si="151"/>
        <v>3053530147</v>
      </c>
      <c r="Q446" s="46">
        <f t="shared" si="151"/>
        <v>4000371732</v>
      </c>
      <c r="R446" s="46">
        <f t="shared" si="151"/>
        <v>0</v>
      </c>
      <c r="S446" s="46">
        <f t="shared" si="151"/>
        <v>0</v>
      </c>
      <c r="T446" s="331">
        <f t="shared" si="151"/>
        <v>0</v>
      </c>
      <c r="U446" s="327">
        <f t="shared" si="151"/>
        <v>32624868510</v>
      </c>
      <c r="V446" s="259">
        <f t="shared" si="149"/>
        <v>11755639490</v>
      </c>
      <c r="W446" s="331">
        <f>SUM(W8+W222+W317+W323+W362+W365+W372+W389+W398+W416+W422+W432+W444)</f>
        <v>321594498</v>
      </c>
      <c r="X446" s="339">
        <f>SUM(U446/H446)*100</f>
        <v>73.511705882231</v>
      </c>
    </row>
    <row r="447" spans="2:23" ht="12.75">
      <c r="B447" s="9"/>
      <c r="C447" s="9"/>
      <c r="D447" s="9"/>
      <c r="E447" s="7"/>
      <c r="F447" s="7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215">
        <f>SUM(I446:T446)</f>
        <v>32624868510</v>
      </c>
      <c r="V447" s="13"/>
      <c r="W447" s="435"/>
    </row>
    <row r="448" spans="8:21" ht="12.75">
      <c r="H448" s="261"/>
      <c r="U448" s="260"/>
    </row>
    <row r="449" spans="7:21" ht="15.75">
      <c r="G449" s="424" t="s">
        <v>568</v>
      </c>
      <c r="H449" s="420"/>
      <c r="I449" s="421"/>
      <c r="J449" s="421"/>
      <c r="K449" s="421"/>
      <c r="L449" s="421"/>
      <c r="M449" s="421"/>
      <c r="N449" s="421"/>
      <c r="O449" s="418"/>
      <c r="P449" s="421"/>
      <c r="Q449" s="421"/>
      <c r="R449" s="421"/>
      <c r="S449" s="421"/>
      <c r="T449" s="421"/>
      <c r="U449" s="422"/>
    </row>
    <row r="450" spans="7:21" ht="12.75">
      <c r="G450" s="419"/>
      <c r="H450" s="423"/>
      <c r="I450" s="425"/>
      <c r="J450" s="425"/>
      <c r="K450" s="425"/>
      <c r="L450" s="425"/>
      <c r="M450" s="425"/>
      <c r="N450" s="425"/>
      <c r="O450" s="425"/>
      <c r="P450" s="423"/>
      <c r="Q450" s="423"/>
      <c r="R450" s="423"/>
      <c r="S450" s="423"/>
      <c r="T450" s="423"/>
      <c r="U450" s="425"/>
    </row>
    <row r="451" spans="7:21" ht="12.75">
      <c r="G451" s="426" t="s">
        <v>571</v>
      </c>
      <c r="H451" s="427"/>
      <c r="I451" s="428">
        <f aca="true" t="shared" si="152" ref="I451:U451">+I11+I12+I23+I30+I39+I43+I52+I55+I57+I58+I63+I74+I77+I83+I97</f>
        <v>280499653</v>
      </c>
      <c r="J451" s="428">
        <f t="shared" si="152"/>
        <v>258804379</v>
      </c>
      <c r="K451" s="428">
        <f t="shared" si="152"/>
        <v>253802004</v>
      </c>
      <c r="L451" s="428">
        <f t="shared" si="152"/>
        <v>265498121</v>
      </c>
      <c r="M451" s="428">
        <f t="shared" si="152"/>
        <v>419508533</v>
      </c>
      <c r="N451" s="428">
        <f t="shared" si="152"/>
        <v>257017654</v>
      </c>
      <c r="O451" s="428">
        <f t="shared" si="152"/>
        <v>413395247</v>
      </c>
      <c r="P451" s="428">
        <f t="shared" si="152"/>
        <v>260812378</v>
      </c>
      <c r="Q451" s="428">
        <f t="shared" si="152"/>
        <v>262621964</v>
      </c>
      <c r="R451" s="428">
        <f t="shared" si="152"/>
        <v>0</v>
      </c>
      <c r="S451" s="428">
        <f t="shared" si="152"/>
        <v>0</v>
      </c>
      <c r="T451" s="428">
        <f t="shared" si="152"/>
        <v>0</v>
      </c>
      <c r="U451" s="428">
        <f t="shared" si="152"/>
        <v>2671959933</v>
      </c>
    </row>
    <row r="452" spans="7:21" ht="12.75">
      <c r="G452" s="426" t="s">
        <v>569</v>
      </c>
      <c r="H452" s="427"/>
      <c r="I452" s="428">
        <f aca="true" t="shared" si="153" ref="I452:U452">+I115+I116+I124+I130+I143+I152+I155+I156+I162+I175</f>
        <v>83416929</v>
      </c>
      <c r="J452" s="428">
        <f t="shared" si="153"/>
        <v>72066854</v>
      </c>
      <c r="K452" s="428">
        <f t="shared" si="153"/>
        <v>71747084</v>
      </c>
      <c r="L452" s="428">
        <f t="shared" si="153"/>
        <v>80423453</v>
      </c>
      <c r="M452" s="428">
        <f t="shared" si="153"/>
        <v>117052317</v>
      </c>
      <c r="N452" s="428">
        <f t="shared" si="153"/>
        <v>70606976</v>
      </c>
      <c r="O452" s="428">
        <f t="shared" si="153"/>
        <v>119371455</v>
      </c>
      <c r="P452" s="428">
        <f t="shared" si="153"/>
        <v>74009539</v>
      </c>
      <c r="Q452" s="428">
        <f t="shared" si="153"/>
        <v>65023931</v>
      </c>
      <c r="R452" s="428">
        <f t="shared" si="153"/>
        <v>0</v>
      </c>
      <c r="S452" s="428">
        <f t="shared" si="153"/>
        <v>0</v>
      </c>
      <c r="T452" s="428">
        <f t="shared" si="153"/>
        <v>0</v>
      </c>
      <c r="U452" s="428">
        <f t="shared" si="153"/>
        <v>753718538</v>
      </c>
    </row>
    <row r="453" spans="7:21" ht="12.75">
      <c r="G453" s="426" t="s">
        <v>570</v>
      </c>
      <c r="H453" s="427"/>
      <c r="I453" s="428">
        <f aca="true" t="shared" si="154" ref="I453:U453">+I192</f>
        <v>15969419</v>
      </c>
      <c r="J453" s="428">
        <f t="shared" si="154"/>
        <v>36386579</v>
      </c>
      <c r="K453" s="428">
        <f t="shared" si="154"/>
        <v>42057032</v>
      </c>
      <c r="L453" s="428">
        <f t="shared" si="154"/>
        <v>45899754</v>
      </c>
      <c r="M453" s="428">
        <f t="shared" si="154"/>
        <v>44910904</v>
      </c>
      <c r="N453" s="428">
        <f t="shared" si="154"/>
        <v>43060079</v>
      </c>
      <c r="O453" s="428">
        <f t="shared" si="154"/>
        <v>39625439</v>
      </c>
      <c r="P453" s="428">
        <f t="shared" si="154"/>
        <v>41228779</v>
      </c>
      <c r="Q453" s="428">
        <f t="shared" si="154"/>
        <v>45154293</v>
      </c>
      <c r="R453" s="428">
        <f t="shared" si="154"/>
        <v>0</v>
      </c>
      <c r="S453" s="428">
        <f t="shared" si="154"/>
        <v>0</v>
      </c>
      <c r="T453" s="428">
        <f t="shared" si="154"/>
        <v>0</v>
      </c>
      <c r="U453" s="428">
        <f t="shared" si="154"/>
        <v>354292278</v>
      </c>
    </row>
    <row r="454" spans="7:21" ht="12.75">
      <c r="G454" s="429"/>
      <c r="H454" s="427"/>
      <c r="I454" s="427"/>
      <c r="J454" s="427"/>
      <c r="K454" s="427"/>
      <c r="L454" s="427"/>
      <c r="M454" s="427"/>
      <c r="N454" s="427"/>
      <c r="O454" s="427"/>
      <c r="P454" s="427"/>
      <c r="Q454" s="427"/>
      <c r="R454" s="427"/>
      <c r="S454" s="427"/>
      <c r="T454" s="427"/>
      <c r="U454" s="427"/>
    </row>
    <row r="455" spans="7:21" ht="12.75">
      <c r="G455" s="426" t="s">
        <v>572</v>
      </c>
      <c r="H455" s="427"/>
      <c r="I455" s="427"/>
      <c r="J455" s="427"/>
      <c r="K455" s="427"/>
      <c r="L455" s="427"/>
      <c r="M455" s="427"/>
      <c r="N455" s="427"/>
      <c r="O455" s="427"/>
      <c r="P455" s="427"/>
      <c r="Q455" s="427"/>
      <c r="R455" s="427"/>
      <c r="S455" s="427"/>
      <c r="T455" s="427"/>
      <c r="U455" s="427"/>
    </row>
    <row r="456" spans="7:21" ht="12.75">
      <c r="G456" s="426" t="s">
        <v>573</v>
      </c>
      <c r="H456" s="427"/>
      <c r="I456" s="247">
        <f aca="true" t="shared" si="155" ref="I456:T456">SUM(I452/I451)*100</f>
        <v>29.738692404015204</v>
      </c>
      <c r="J456" s="247">
        <f t="shared" si="155"/>
        <v>27.84607210993134</v>
      </c>
      <c r="K456" s="247">
        <f t="shared" si="155"/>
        <v>28.26891942114058</v>
      </c>
      <c r="L456" s="247">
        <f t="shared" si="155"/>
        <v>30.29153377699423</v>
      </c>
      <c r="M456" s="247">
        <f t="shared" si="155"/>
        <v>27.9022493685486</v>
      </c>
      <c r="N456" s="247">
        <f t="shared" si="155"/>
        <v>27.471644418635925</v>
      </c>
      <c r="O456" s="247">
        <f t="shared" si="155"/>
        <v>28.875865377329795</v>
      </c>
      <c r="P456" s="247">
        <f t="shared" si="155"/>
        <v>28.376543923080217</v>
      </c>
      <c r="Q456" s="247">
        <f t="shared" si="155"/>
        <v>24.75951744843398</v>
      </c>
      <c r="R456" s="247" t="e">
        <f t="shared" si="155"/>
        <v>#DIV/0!</v>
      </c>
      <c r="S456" s="247" t="e">
        <f t="shared" si="155"/>
        <v>#DIV/0!</v>
      </c>
      <c r="T456" s="247" t="e">
        <f t="shared" si="155"/>
        <v>#DIV/0!</v>
      </c>
      <c r="U456" s="247">
        <f>SUM(U452/U451)*100</f>
        <v>28.208452106306343</v>
      </c>
    </row>
    <row r="457" spans="7:21" ht="12.75">
      <c r="G457" s="426" t="s">
        <v>574</v>
      </c>
      <c r="H457" s="427"/>
      <c r="I457" s="247">
        <f aca="true" t="shared" si="156" ref="I457:T457">SUM(I453/I451)*100</f>
        <v>5.69320454738673</v>
      </c>
      <c r="J457" s="247">
        <f t="shared" si="156"/>
        <v>14.059491242225079</v>
      </c>
      <c r="K457" s="247">
        <f t="shared" si="156"/>
        <v>16.57080375141561</v>
      </c>
      <c r="L457" s="247">
        <f t="shared" si="156"/>
        <v>17.28816528987789</v>
      </c>
      <c r="M457" s="247">
        <f t="shared" si="156"/>
        <v>10.705599640329606</v>
      </c>
      <c r="N457" s="247">
        <f t="shared" si="156"/>
        <v>16.753743694197752</v>
      </c>
      <c r="O457" s="247">
        <f t="shared" si="156"/>
        <v>9.585363955575426</v>
      </c>
      <c r="P457" s="247">
        <f t="shared" si="156"/>
        <v>15.807830639081095</v>
      </c>
      <c r="Q457" s="247">
        <f t="shared" si="156"/>
        <v>17.193646834504673</v>
      </c>
      <c r="R457" s="247" t="e">
        <f t="shared" si="156"/>
        <v>#DIV/0!</v>
      </c>
      <c r="S457" s="247" t="e">
        <f t="shared" si="156"/>
        <v>#DIV/0!</v>
      </c>
      <c r="T457" s="247" t="e">
        <f t="shared" si="156"/>
        <v>#DIV/0!</v>
      </c>
      <c r="U457" s="247">
        <f>SUM(U453/U451)*100</f>
        <v>13.259640372010024</v>
      </c>
    </row>
    <row r="458" spans="7:21" ht="12.75">
      <c r="G458" s="340"/>
      <c r="I458" s="342"/>
      <c r="J458" s="342"/>
      <c r="K458" s="342"/>
      <c r="L458" s="342"/>
      <c r="M458" s="342"/>
      <c r="N458" s="342"/>
      <c r="U458" s="342"/>
    </row>
  </sheetData>
  <sheetProtection/>
  <mergeCells count="1">
    <mergeCell ref="H6:V6"/>
  </mergeCells>
  <printOptions/>
  <pageMargins left="0" right="0" top="0.1968503937007874" bottom="0.3937007874015748" header="0.1968503937007874" footer="0.7874015748031497"/>
  <pageSetup horizontalDpi="600" verticalDpi="600" orientation="landscape" paperSize="9" scale="65" r:id="rId3"/>
  <headerFooter alignWithMargins="0">
    <oddHeader>&amp;R&amp;P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21"/>
  <sheetViews>
    <sheetView tabSelected="1" zoomScalePageLayoutView="0" workbookViewId="0" topLeftCell="A505">
      <selection activeCell="B149" sqref="B149:X581"/>
    </sheetView>
  </sheetViews>
  <sheetFormatPr defaultColWidth="11.421875" defaultRowHeight="12.75"/>
  <cols>
    <col min="1" max="2" width="4.57421875" style="0" customWidth="1"/>
    <col min="3" max="3" width="3.57421875" style="0" customWidth="1"/>
    <col min="4" max="4" width="7.28125" style="0" hidden="1" customWidth="1"/>
    <col min="5" max="6" width="7.421875" style="0" hidden="1" customWidth="1"/>
    <col min="7" max="7" width="37.8515625" style="0" customWidth="1"/>
    <col min="8" max="8" width="11.8515625" style="0" customWidth="1"/>
    <col min="9" max="9" width="11.140625" style="0" customWidth="1"/>
    <col min="10" max="10" width="11.00390625" style="0" customWidth="1"/>
    <col min="11" max="12" width="11.140625" style="0" customWidth="1"/>
    <col min="13" max="13" width="11.28125" style="0" customWidth="1"/>
    <col min="14" max="14" width="11.421875" style="0" customWidth="1"/>
    <col min="15" max="15" width="13.00390625" style="0" customWidth="1"/>
    <col min="16" max="16" width="11.421875" style="0" customWidth="1"/>
    <col min="17" max="17" width="11.57421875" style="0" customWidth="1"/>
    <col min="18" max="19" width="10.8515625" style="0" hidden="1" customWidth="1"/>
    <col min="20" max="20" width="11.140625" style="0" hidden="1" customWidth="1"/>
    <col min="21" max="22" width="11.8515625" style="0" customWidth="1"/>
    <col min="23" max="23" width="9.7109375" style="0" customWidth="1"/>
    <col min="24" max="24" width="6.7109375" style="0" customWidth="1"/>
    <col min="25" max="25" width="43.421875" style="0" customWidth="1"/>
  </cols>
  <sheetData>
    <row r="1" spans="1:24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.75">
      <c r="A2" s="49"/>
      <c r="B2" s="50" t="s">
        <v>0</v>
      </c>
      <c r="C2" s="51"/>
      <c r="D2" s="51"/>
      <c r="E2" s="51"/>
      <c r="F2" s="51"/>
      <c r="G2" s="52"/>
      <c r="H2" s="216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1"/>
      <c r="V2" s="51"/>
      <c r="W2" s="16"/>
      <c r="X2" s="16"/>
    </row>
    <row r="3" spans="1:24" ht="12.75">
      <c r="A3" s="49"/>
      <c r="B3" s="50" t="s">
        <v>1</v>
      </c>
      <c r="C3" s="51"/>
      <c r="D3" s="51"/>
      <c r="E3" s="51"/>
      <c r="F3" s="51"/>
      <c r="G3" s="52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1"/>
      <c r="V3" s="51"/>
      <c r="W3" s="16"/>
      <c r="X3" s="16"/>
    </row>
    <row r="4" spans="1:24" ht="15" customHeight="1">
      <c r="A4" s="49"/>
      <c r="B4" s="50"/>
      <c r="C4" s="51"/>
      <c r="D4" s="51"/>
      <c r="E4" s="51"/>
      <c r="F4" s="51"/>
      <c r="G4" s="52"/>
      <c r="H4" s="216" t="s">
        <v>649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1"/>
      <c r="V4" s="51"/>
      <c r="W4" s="16"/>
      <c r="X4" s="16"/>
    </row>
    <row r="5" spans="1:24" ht="19.5" customHeight="1">
      <c r="A5" s="11"/>
      <c r="B5" s="14"/>
      <c r="C5" s="11"/>
      <c r="D5" s="11"/>
      <c r="E5" s="11"/>
      <c r="F5" s="11"/>
      <c r="G5" s="337" t="s">
        <v>674</v>
      </c>
      <c r="H5" s="54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11"/>
      <c r="V5" s="11"/>
      <c r="W5" s="16"/>
      <c r="X5" s="16"/>
    </row>
    <row r="6" spans="1:24" ht="12.75" customHeight="1" thickBot="1">
      <c r="A6" s="11"/>
      <c r="B6" s="14"/>
      <c r="C6" s="11"/>
      <c r="D6" s="11"/>
      <c r="E6" s="11"/>
      <c r="F6" s="11"/>
      <c r="G6" s="54"/>
      <c r="H6" s="54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11"/>
      <c r="V6" s="11"/>
      <c r="W6" s="16"/>
      <c r="X6" s="16"/>
    </row>
    <row r="7" spans="1:24" ht="27" customHeight="1" thickBot="1">
      <c r="A7" s="11"/>
      <c r="B7" s="181" t="s">
        <v>2</v>
      </c>
      <c r="C7" s="182" t="s">
        <v>3</v>
      </c>
      <c r="D7" s="181" t="s">
        <v>4</v>
      </c>
      <c r="E7" s="181" t="s">
        <v>5</v>
      </c>
      <c r="F7" s="181"/>
      <c r="G7" s="183" t="s">
        <v>6</v>
      </c>
      <c r="H7" s="184" t="s">
        <v>7</v>
      </c>
      <c r="I7" s="184" t="s">
        <v>490</v>
      </c>
      <c r="J7" s="184" t="s">
        <v>491</v>
      </c>
      <c r="K7" s="184" t="s">
        <v>492</v>
      </c>
      <c r="L7" s="184" t="s">
        <v>493</v>
      </c>
      <c r="M7" s="184" t="s">
        <v>494</v>
      </c>
      <c r="N7" s="184" t="s">
        <v>495</v>
      </c>
      <c r="O7" s="184" t="s">
        <v>496</v>
      </c>
      <c r="P7" s="184" t="s">
        <v>497</v>
      </c>
      <c r="Q7" s="184" t="s">
        <v>498</v>
      </c>
      <c r="R7" s="184" t="s">
        <v>499</v>
      </c>
      <c r="S7" s="184" t="s">
        <v>500</v>
      </c>
      <c r="T7" s="184" t="s">
        <v>501</v>
      </c>
      <c r="U7" s="184" t="s">
        <v>8</v>
      </c>
      <c r="V7" s="185" t="s">
        <v>9</v>
      </c>
      <c r="W7" s="186" t="s">
        <v>510</v>
      </c>
      <c r="X7" s="56"/>
    </row>
    <row r="8" spans="1:24" ht="21">
      <c r="A8" s="49"/>
      <c r="B8" s="176" t="s">
        <v>10</v>
      </c>
      <c r="C8" s="169"/>
      <c r="D8" s="169"/>
      <c r="E8" s="170"/>
      <c r="F8" s="171"/>
      <c r="G8" s="177" t="s">
        <v>11</v>
      </c>
      <c r="H8" s="174">
        <f aca="true" t="shared" si="0" ref="H8:M8">SUM(H9+H26+H32+H33)</f>
        <v>18278177000</v>
      </c>
      <c r="I8" s="174">
        <f t="shared" si="0"/>
        <v>2437005594</v>
      </c>
      <c r="J8" s="174">
        <f t="shared" si="0"/>
        <v>836153426</v>
      </c>
      <c r="K8" s="174">
        <f t="shared" si="0"/>
        <v>3756014893</v>
      </c>
      <c r="L8" s="174">
        <f t="shared" si="0"/>
        <v>839977113</v>
      </c>
      <c r="M8" s="174">
        <f t="shared" si="0"/>
        <v>1424468547</v>
      </c>
      <c r="N8" s="174">
        <f aca="true" t="shared" si="1" ref="N8:T8">SUM(N9+N26+N32+N33)</f>
        <v>605744873</v>
      </c>
      <c r="O8" s="174">
        <f t="shared" si="1"/>
        <v>3128575949</v>
      </c>
      <c r="P8" s="174">
        <f t="shared" si="1"/>
        <v>1154978788</v>
      </c>
      <c r="Q8" s="174">
        <f t="shared" si="1"/>
        <v>1016062521</v>
      </c>
      <c r="R8" s="174">
        <f t="shared" si="1"/>
        <v>0</v>
      </c>
      <c r="S8" s="174">
        <f t="shared" si="1"/>
        <v>0</v>
      </c>
      <c r="T8" s="174">
        <f t="shared" si="1"/>
        <v>0</v>
      </c>
      <c r="U8" s="174">
        <f>SUM(U9+U26+U32+U33)</f>
        <v>15198981704</v>
      </c>
      <c r="V8" s="178">
        <f>H8-U8</f>
        <v>3079195296</v>
      </c>
      <c r="W8" s="179">
        <f>SUM(U8/H8)</f>
        <v>0.8315370676189425</v>
      </c>
      <c r="X8" s="56"/>
    </row>
    <row r="9" spans="1:24" ht="12.75">
      <c r="A9" s="49"/>
      <c r="B9" s="23" t="s">
        <v>10</v>
      </c>
      <c r="C9" s="24" t="s">
        <v>12</v>
      </c>
      <c r="D9" s="24"/>
      <c r="E9" s="21"/>
      <c r="F9" s="22"/>
      <c r="G9" s="27" t="s">
        <v>13</v>
      </c>
      <c r="H9" s="32">
        <f>+Ingresos!I8</f>
        <v>8022057000</v>
      </c>
      <c r="I9" s="32">
        <f>+Ingresos!J8</f>
        <v>2051292478</v>
      </c>
      <c r="J9" s="32">
        <f>+Ingresos!K8</f>
        <v>561043972</v>
      </c>
      <c r="K9" s="32">
        <f>+Ingresos!L8</f>
        <v>260100100</v>
      </c>
      <c r="L9" s="32">
        <f>+Ingresos!M8</f>
        <v>269044474</v>
      </c>
      <c r="M9" s="32">
        <f>+Ingresos!N8</f>
        <v>298786368</v>
      </c>
      <c r="N9" s="32">
        <f>+Ingresos!O8</f>
        <v>298440290</v>
      </c>
      <c r="O9" s="32">
        <f>+Ingresos!P8</f>
        <v>2311280120</v>
      </c>
      <c r="P9" s="32">
        <f>+Ingresos!Q8</f>
        <v>451946595</v>
      </c>
      <c r="Q9" s="32">
        <f>+Ingresos!R8</f>
        <v>446227251</v>
      </c>
      <c r="R9" s="32">
        <f>+Ingresos!S8</f>
        <v>0</v>
      </c>
      <c r="S9" s="32">
        <f>+Ingresos!T8</f>
        <v>0</v>
      </c>
      <c r="T9" s="32">
        <f>+Ingresos!U8</f>
        <v>0</v>
      </c>
      <c r="U9" s="32">
        <f>SUM(I9:T9)</f>
        <v>6948161648</v>
      </c>
      <c r="V9" s="32">
        <f>H9-U9</f>
        <v>1073895352</v>
      </c>
      <c r="W9" s="47">
        <f>SUM(U9/H9)</f>
        <v>0.8661321713371022</v>
      </c>
      <c r="X9" s="56"/>
    </row>
    <row r="10" spans="1:24" ht="12.75" customHeight="1" hidden="1">
      <c r="A10" s="49"/>
      <c r="B10" s="23" t="s">
        <v>10</v>
      </c>
      <c r="C10" s="24" t="s">
        <v>12</v>
      </c>
      <c r="D10" s="24" t="s">
        <v>14</v>
      </c>
      <c r="E10" s="25"/>
      <c r="F10" s="26"/>
      <c r="G10" s="27" t="s">
        <v>15</v>
      </c>
      <c r="H10" s="19">
        <f aca="true" t="shared" si="2" ref="H10:M10">SUM(H11:H12)</f>
        <v>0</v>
      </c>
      <c r="I10" s="19">
        <f t="shared" si="2"/>
        <v>880553</v>
      </c>
      <c r="J10" s="19">
        <f t="shared" si="2"/>
        <v>880553</v>
      </c>
      <c r="K10" s="19">
        <f t="shared" si="2"/>
        <v>880553</v>
      </c>
      <c r="L10" s="19">
        <f t="shared" si="2"/>
        <v>880553</v>
      </c>
      <c r="M10" s="19">
        <f t="shared" si="2"/>
        <v>880553</v>
      </c>
      <c r="N10" s="19">
        <f aca="true" t="shared" si="3" ref="N10:T10">SUM(N11:N12)</f>
        <v>880553</v>
      </c>
      <c r="O10" s="19">
        <f t="shared" si="3"/>
        <v>880553</v>
      </c>
      <c r="P10" s="19">
        <f t="shared" si="3"/>
        <v>880553</v>
      </c>
      <c r="Q10" s="19">
        <f t="shared" si="3"/>
        <v>880553</v>
      </c>
      <c r="R10" s="19">
        <f t="shared" si="3"/>
        <v>880553</v>
      </c>
      <c r="S10" s="19">
        <f t="shared" si="3"/>
        <v>880553</v>
      </c>
      <c r="T10" s="19">
        <f t="shared" si="3"/>
        <v>880553</v>
      </c>
      <c r="U10" s="19">
        <f>SUM(U11:U12)</f>
        <v>0</v>
      </c>
      <c r="V10" s="19">
        <f>H10-U10</f>
        <v>0</v>
      </c>
      <c r="W10" s="60"/>
      <c r="X10" s="56"/>
    </row>
    <row r="11" spans="1:24" ht="12.75" customHeight="1" hidden="1">
      <c r="A11" s="49"/>
      <c r="B11" s="28"/>
      <c r="C11" s="29"/>
      <c r="D11" s="29"/>
      <c r="E11" s="21" t="s">
        <v>14</v>
      </c>
      <c r="F11" s="22"/>
      <c r="G11" s="30" t="s">
        <v>16</v>
      </c>
      <c r="H11" s="20"/>
      <c r="I11" s="20">
        <v>880553</v>
      </c>
      <c r="J11" s="20">
        <v>880553</v>
      </c>
      <c r="K11" s="20">
        <v>880553</v>
      </c>
      <c r="L11" s="20">
        <v>880553</v>
      </c>
      <c r="M11" s="20">
        <v>880553</v>
      </c>
      <c r="N11" s="20">
        <v>880553</v>
      </c>
      <c r="O11" s="20">
        <v>880553</v>
      </c>
      <c r="P11" s="20">
        <v>880553</v>
      </c>
      <c r="Q11" s="20">
        <v>880553</v>
      </c>
      <c r="R11" s="20">
        <v>880553</v>
      </c>
      <c r="S11" s="20">
        <v>880553</v>
      </c>
      <c r="T11" s="20">
        <v>880553</v>
      </c>
      <c r="U11" s="20"/>
      <c r="V11" s="19">
        <f aca="true" t="shared" si="4" ref="V11:V75">H11-U11</f>
        <v>0</v>
      </c>
      <c r="W11" s="60"/>
      <c r="X11" s="56"/>
    </row>
    <row r="12" spans="1:24" ht="12.75" customHeight="1" hidden="1">
      <c r="A12" s="49"/>
      <c r="B12" s="28"/>
      <c r="C12" s="29"/>
      <c r="D12" s="29"/>
      <c r="E12" s="21" t="s">
        <v>17</v>
      </c>
      <c r="F12" s="22"/>
      <c r="G12" s="30" t="s">
        <v>18</v>
      </c>
      <c r="H12" s="20"/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/>
      <c r="V12" s="19">
        <f t="shared" si="4"/>
        <v>0</v>
      </c>
      <c r="W12" s="60"/>
      <c r="X12" s="56"/>
    </row>
    <row r="13" spans="1:24" ht="12.75" customHeight="1" hidden="1">
      <c r="A13" s="49"/>
      <c r="B13" s="23" t="s">
        <v>10</v>
      </c>
      <c r="C13" s="24" t="s">
        <v>12</v>
      </c>
      <c r="D13" s="24" t="s">
        <v>17</v>
      </c>
      <c r="E13" s="25"/>
      <c r="F13" s="26"/>
      <c r="G13" s="27" t="s">
        <v>19</v>
      </c>
      <c r="H13" s="19">
        <f aca="true" t="shared" si="5" ref="H13:M13">SUM(H14:H16)</f>
        <v>0</v>
      </c>
      <c r="I13" s="19">
        <f t="shared" si="5"/>
        <v>78417</v>
      </c>
      <c r="J13" s="19">
        <f t="shared" si="5"/>
        <v>78417</v>
      </c>
      <c r="K13" s="19">
        <f t="shared" si="5"/>
        <v>78417</v>
      </c>
      <c r="L13" s="19">
        <f t="shared" si="5"/>
        <v>78417</v>
      </c>
      <c r="M13" s="19">
        <f t="shared" si="5"/>
        <v>78417</v>
      </c>
      <c r="N13" s="19">
        <f aca="true" t="shared" si="6" ref="N13:T13">SUM(N14:N16)</f>
        <v>78417</v>
      </c>
      <c r="O13" s="19">
        <f t="shared" si="6"/>
        <v>78417</v>
      </c>
      <c r="P13" s="19">
        <f t="shared" si="6"/>
        <v>78417</v>
      </c>
      <c r="Q13" s="19">
        <f t="shared" si="6"/>
        <v>78417</v>
      </c>
      <c r="R13" s="19">
        <f t="shared" si="6"/>
        <v>78417</v>
      </c>
      <c r="S13" s="19">
        <f t="shared" si="6"/>
        <v>78417</v>
      </c>
      <c r="T13" s="19">
        <f t="shared" si="6"/>
        <v>78417</v>
      </c>
      <c r="U13" s="19">
        <f>SUM(U14:U16)</f>
        <v>0</v>
      </c>
      <c r="V13" s="19">
        <f t="shared" si="4"/>
        <v>0</v>
      </c>
      <c r="W13" s="60"/>
      <c r="X13" s="56"/>
    </row>
    <row r="14" spans="1:24" ht="12.75" customHeight="1" hidden="1">
      <c r="A14" s="49"/>
      <c r="B14" s="28"/>
      <c r="C14" s="28"/>
      <c r="D14" s="29"/>
      <c r="E14" s="21" t="s">
        <v>14</v>
      </c>
      <c r="F14" s="22"/>
      <c r="G14" s="30" t="s">
        <v>20</v>
      </c>
      <c r="H14" s="20"/>
      <c r="I14" s="20">
        <v>19258</v>
      </c>
      <c r="J14" s="20">
        <v>19258</v>
      </c>
      <c r="K14" s="20">
        <v>19258</v>
      </c>
      <c r="L14" s="20">
        <v>19258</v>
      </c>
      <c r="M14" s="20">
        <v>19258</v>
      </c>
      <c r="N14" s="20">
        <v>19258</v>
      </c>
      <c r="O14" s="20">
        <v>19258</v>
      </c>
      <c r="P14" s="20">
        <v>19258</v>
      </c>
      <c r="Q14" s="20">
        <v>19258</v>
      </c>
      <c r="R14" s="20">
        <v>19258</v>
      </c>
      <c r="S14" s="20">
        <v>19258</v>
      </c>
      <c r="T14" s="20">
        <v>19258</v>
      </c>
      <c r="U14" s="20"/>
      <c r="V14" s="19">
        <f t="shared" si="4"/>
        <v>0</v>
      </c>
      <c r="W14" s="60"/>
      <c r="X14" s="56"/>
    </row>
    <row r="15" spans="1:24" ht="12.75" customHeight="1" hidden="1">
      <c r="A15" s="49"/>
      <c r="B15" s="28"/>
      <c r="C15" s="28"/>
      <c r="D15" s="29"/>
      <c r="E15" s="21" t="s">
        <v>17</v>
      </c>
      <c r="F15" s="22"/>
      <c r="G15" s="30" t="s">
        <v>21</v>
      </c>
      <c r="H15" s="20"/>
      <c r="I15" s="20">
        <v>59144</v>
      </c>
      <c r="J15" s="20">
        <v>59144</v>
      </c>
      <c r="K15" s="20">
        <v>59144</v>
      </c>
      <c r="L15" s="20">
        <v>59144</v>
      </c>
      <c r="M15" s="20">
        <v>59144</v>
      </c>
      <c r="N15" s="20">
        <v>59144</v>
      </c>
      <c r="O15" s="20">
        <v>59144</v>
      </c>
      <c r="P15" s="20">
        <v>59144</v>
      </c>
      <c r="Q15" s="20">
        <v>59144</v>
      </c>
      <c r="R15" s="20">
        <v>59144</v>
      </c>
      <c r="S15" s="20">
        <v>59144</v>
      </c>
      <c r="T15" s="20">
        <v>59144</v>
      </c>
      <c r="U15" s="20"/>
      <c r="V15" s="19">
        <f t="shared" si="4"/>
        <v>0</v>
      </c>
      <c r="W15" s="60"/>
      <c r="X15" s="56"/>
    </row>
    <row r="16" spans="1:24" ht="12.75" customHeight="1" hidden="1">
      <c r="A16" s="49"/>
      <c r="B16" s="28"/>
      <c r="C16" s="28"/>
      <c r="D16" s="29"/>
      <c r="E16" s="21" t="s">
        <v>22</v>
      </c>
      <c r="F16" s="22"/>
      <c r="G16" s="30" t="s">
        <v>23</v>
      </c>
      <c r="H16" s="20"/>
      <c r="I16" s="20">
        <v>15</v>
      </c>
      <c r="J16" s="20">
        <v>15</v>
      </c>
      <c r="K16" s="20">
        <v>15</v>
      </c>
      <c r="L16" s="20">
        <v>15</v>
      </c>
      <c r="M16" s="20">
        <v>15</v>
      </c>
      <c r="N16" s="20">
        <v>15</v>
      </c>
      <c r="O16" s="20">
        <v>15</v>
      </c>
      <c r="P16" s="20">
        <v>15</v>
      </c>
      <c r="Q16" s="20">
        <v>15</v>
      </c>
      <c r="R16" s="20">
        <v>15</v>
      </c>
      <c r="S16" s="20">
        <v>15</v>
      </c>
      <c r="T16" s="20">
        <v>15</v>
      </c>
      <c r="U16" s="20"/>
      <c r="V16" s="19">
        <f t="shared" si="4"/>
        <v>0</v>
      </c>
      <c r="W16" s="60"/>
      <c r="X16" s="56"/>
    </row>
    <row r="17" spans="1:24" ht="12.75" customHeight="1" hidden="1">
      <c r="A17" s="49"/>
      <c r="B17" s="23" t="s">
        <v>10</v>
      </c>
      <c r="C17" s="24" t="s">
        <v>12</v>
      </c>
      <c r="D17" s="24" t="s">
        <v>22</v>
      </c>
      <c r="E17" s="25"/>
      <c r="F17" s="26"/>
      <c r="G17" s="27" t="s">
        <v>24</v>
      </c>
      <c r="H17" s="19">
        <f aca="true" t="shared" si="7" ref="H17:M17">SUM(H18:H22)</f>
        <v>0</v>
      </c>
      <c r="I17" s="19">
        <f t="shared" si="7"/>
        <v>99773</v>
      </c>
      <c r="J17" s="19">
        <f t="shared" si="7"/>
        <v>99773</v>
      </c>
      <c r="K17" s="19">
        <f t="shared" si="7"/>
        <v>99773</v>
      </c>
      <c r="L17" s="19">
        <f t="shared" si="7"/>
        <v>99773</v>
      </c>
      <c r="M17" s="19">
        <f t="shared" si="7"/>
        <v>99773</v>
      </c>
      <c r="N17" s="19">
        <f aca="true" t="shared" si="8" ref="N17:T17">SUM(N18:N22)</f>
        <v>99773</v>
      </c>
      <c r="O17" s="19">
        <f t="shared" si="8"/>
        <v>99773</v>
      </c>
      <c r="P17" s="19">
        <f t="shared" si="8"/>
        <v>99773</v>
      </c>
      <c r="Q17" s="19">
        <f t="shared" si="8"/>
        <v>99773</v>
      </c>
      <c r="R17" s="19">
        <f t="shared" si="8"/>
        <v>99773</v>
      </c>
      <c r="S17" s="19">
        <f t="shared" si="8"/>
        <v>99773</v>
      </c>
      <c r="T17" s="19">
        <f t="shared" si="8"/>
        <v>99773</v>
      </c>
      <c r="U17" s="19">
        <f>SUM(U18:U22)</f>
        <v>0</v>
      </c>
      <c r="V17" s="19">
        <f t="shared" si="4"/>
        <v>0</v>
      </c>
      <c r="W17" s="60"/>
      <c r="X17" s="56"/>
    </row>
    <row r="18" spans="1:24" ht="12.75" customHeight="1" hidden="1">
      <c r="A18" s="49"/>
      <c r="B18" s="28"/>
      <c r="C18" s="29"/>
      <c r="D18" s="29"/>
      <c r="E18" s="21" t="s">
        <v>14</v>
      </c>
      <c r="F18" s="22"/>
      <c r="G18" s="30" t="s">
        <v>25</v>
      </c>
      <c r="H18" s="20"/>
      <c r="I18" s="20">
        <v>54177</v>
      </c>
      <c r="J18" s="20">
        <v>54177</v>
      </c>
      <c r="K18" s="20">
        <v>54177</v>
      </c>
      <c r="L18" s="20">
        <v>54177</v>
      </c>
      <c r="M18" s="20">
        <v>54177</v>
      </c>
      <c r="N18" s="20">
        <v>54177</v>
      </c>
      <c r="O18" s="20">
        <v>54177</v>
      </c>
      <c r="P18" s="20">
        <v>54177</v>
      </c>
      <c r="Q18" s="20">
        <v>54177</v>
      </c>
      <c r="R18" s="20">
        <v>54177</v>
      </c>
      <c r="S18" s="20">
        <v>54177</v>
      </c>
      <c r="T18" s="20">
        <v>54177</v>
      </c>
      <c r="U18" s="20"/>
      <c r="V18" s="19">
        <f t="shared" si="4"/>
        <v>0</v>
      </c>
      <c r="W18" s="60"/>
      <c r="X18" s="56"/>
    </row>
    <row r="19" spans="1:24" ht="12.75" customHeight="1" hidden="1">
      <c r="A19" s="49"/>
      <c r="B19" s="28"/>
      <c r="C19" s="29"/>
      <c r="D19" s="29"/>
      <c r="E19" s="21" t="s">
        <v>17</v>
      </c>
      <c r="F19" s="22"/>
      <c r="G19" s="30" t="s">
        <v>26</v>
      </c>
      <c r="H19" s="20"/>
      <c r="I19" s="20">
        <v>7920</v>
      </c>
      <c r="J19" s="20">
        <v>7920</v>
      </c>
      <c r="K19" s="20">
        <v>7920</v>
      </c>
      <c r="L19" s="20">
        <v>7920</v>
      </c>
      <c r="M19" s="20">
        <v>7920</v>
      </c>
      <c r="N19" s="20">
        <v>7920</v>
      </c>
      <c r="O19" s="20">
        <v>7920</v>
      </c>
      <c r="P19" s="20">
        <v>7920</v>
      </c>
      <c r="Q19" s="20">
        <v>7920</v>
      </c>
      <c r="R19" s="20">
        <v>7920</v>
      </c>
      <c r="S19" s="20">
        <v>7920</v>
      </c>
      <c r="T19" s="20">
        <v>7920</v>
      </c>
      <c r="U19" s="20"/>
      <c r="V19" s="19">
        <f t="shared" si="4"/>
        <v>0</v>
      </c>
      <c r="W19" s="60"/>
      <c r="X19" s="56"/>
    </row>
    <row r="20" spans="1:24" ht="12.75" customHeight="1" hidden="1">
      <c r="A20" s="49"/>
      <c r="B20" s="28"/>
      <c r="C20" s="29"/>
      <c r="D20" s="29"/>
      <c r="E20" s="21" t="s">
        <v>22</v>
      </c>
      <c r="F20" s="22"/>
      <c r="G20" s="30" t="s">
        <v>27</v>
      </c>
      <c r="H20" s="20"/>
      <c r="I20" s="20">
        <v>2130</v>
      </c>
      <c r="J20" s="20">
        <v>2130</v>
      </c>
      <c r="K20" s="20">
        <v>2130</v>
      </c>
      <c r="L20" s="20">
        <v>2130</v>
      </c>
      <c r="M20" s="20">
        <v>2130</v>
      </c>
      <c r="N20" s="20">
        <v>2130</v>
      </c>
      <c r="O20" s="20">
        <v>2130</v>
      </c>
      <c r="P20" s="20">
        <v>2130</v>
      </c>
      <c r="Q20" s="20">
        <v>2130</v>
      </c>
      <c r="R20" s="20">
        <v>2130</v>
      </c>
      <c r="S20" s="20">
        <v>2130</v>
      </c>
      <c r="T20" s="20">
        <v>2130</v>
      </c>
      <c r="U20" s="20"/>
      <c r="V20" s="19">
        <f t="shared" si="4"/>
        <v>0</v>
      </c>
      <c r="W20" s="60"/>
      <c r="X20" s="56"/>
    </row>
    <row r="21" spans="1:24" ht="12.75" customHeight="1" hidden="1">
      <c r="A21" s="49"/>
      <c r="B21" s="28"/>
      <c r="C21" s="29"/>
      <c r="D21" s="29"/>
      <c r="E21" s="21" t="s">
        <v>28</v>
      </c>
      <c r="F21" s="22"/>
      <c r="G21" s="30" t="s">
        <v>29</v>
      </c>
      <c r="H21" s="20"/>
      <c r="I21" s="20">
        <v>19931</v>
      </c>
      <c r="J21" s="20">
        <v>19931</v>
      </c>
      <c r="K21" s="20">
        <v>19931</v>
      </c>
      <c r="L21" s="20">
        <v>19931</v>
      </c>
      <c r="M21" s="20">
        <v>19931</v>
      </c>
      <c r="N21" s="20">
        <v>19931</v>
      </c>
      <c r="O21" s="20">
        <v>19931</v>
      </c>
      <c r="P21" s="20">
        <v>19931</v>
      </c>
      <c r="Q21" s="20">
        <v>19931</v>
      </c>
      <c r="R21" s="20">
        <v>19931</v>
      </c>
      <c r="S21" s="20">
        <v>19931</v>
      </c>
      <c r="T21" s="20">
        <v>19931</v>
      </c>
      <c r="U21" s="20"/>
      <c r="V21" s="19">
        <f t="shared" si="4"/>
        <v>0</v>
      </c>
      <c r="W21" s="60"/>
      <c r="X21" s="56"/>
    </row>
    <row r="22" spans="1:24" ht="12.75" customHeight="1" hidden="1">
      <c r="A22" s="49"/>
      <c r="B22" s="28"/>
      <c r="C22" s="29"/>
      <c r="D22" s="29"/>
      <c r="E22" s="21" t="s">
        <v>30</v>
      </c>
      <c r="F22" s="22"/>
      <c r="G22" s="30" t="s">
        <v>31</v>
      </c>
      <c r="H22" s="20"/>
      <c r="I22" s="20">
        <v>15615</v>
      </c>
      <c r="J22" s="20">
        <v>15615</v>
      </c>
      <c r="K22" s="20">
        <v>15615</v>
      </c>
      <c r="L22" s="20">
        <v>15615</v>
      </c>
      <c r="M22" s="20">
        <v>15615</v>
      </c>
      <c r="N22" s="20">
        <v>15615</v>
      </c>
      <c r="O22" s="20">
        <v>15615</v>
      </c>
      <c r="P22" s="20">
        <v>15615</v>
      </c>
      <c r="Q22" s="20">
        <v>15615</v>
      </c>
      <c r="R22" s="20">
        <v>15615</v>
      </c>
      <c r="S22" s="20">
        <v>15615</v>
      </c>
      <c r="T22" s="20">
        <v>15615</v>
      </c>
      <c r="U22" s="20"/>
      <c r="V22" s="19">
        <f t="shared" si="4"/>
        <v>0</v>
      </c>
      <c r="W22" s="60"/>
      <c r="X22" s="56"/>
    </row>
    <row r="23" spans="1:24" ht="12.75" customHeight="1" hidden="1">
      <c r="A23" s="49"/>
      <c r="B23" s="23" t="s">
        <v>10</v>
      </c>
      <c r="C23" s="24" t="s">
        <v>12</v>
      </c>
      <c r="D23" s="24" t="s">
        <v>28</v>
      </c>
      <c r="E23" s="25"/>
      <c r="F23" s="26"/>
      <c r="G23" s="27" t="s">
        <v>32</v>
      </c>
      <c r="H23" s="19">
        <f>SUM(H24)</f>
        <v>0</v>
      </c>
      <c r="I23" s="19">
        <f aca="true" t="shared" si="9" ref="I23:T23">SUM(I24)</f>
        <v>47773</v>
      </c>
      <c r="J23" s="19">
        <f t="shared" si="9"/>
        <v>47773</v>
      </c>
      <c r="K23" s="19">
        <f t="shared" si="9"/>
        <v>47773</v>
      </c>
      <c r="L23" s="19">
        <f t="shared" si="9"/>
        <v>47773</v>
      </c>
      <c r="M23" s="19">
        <f t="shared" si="9"/>
        <v>47773</v>
      </c>
      <c r="N23" s="19">
        <f t="shared" si="9"/>
        <v>47773</v>
      </c>
      <c r="O23" s="19">
        <f t="shared" si="9"/>
        <v>47773</v>
      </c>
      <c r="P23" s="19">
        <f t="shared" si="9"/>
        <v>47773</v>
      </c>
      <c r="Q23" s="19">
        <f t="shared" si="9"/>
        <v>47773</v>
      </c>
      <c r="R23" s="19">
        <f t="shared" si="9"/>
        <v>47773</v>
      </c>
      <c r="S23" s="19">
        <f t="shared" si="9"/>
        <v>47773</v>
      </c>
      <c r="T23" s="19">
        <f t="shared" si="9"/>
        <v>47773</v>
      </c>
      <c r="U23" s="19">
        <f>SUM(U24)</f>
        <v>0</v>
      </c>
      <c r="V23" s="19">
        <f t="shared" si="4"/>
        <v>0</v>
      </c>
      <c r="W23" s="60"/>
      <c r="X23" s="56"/>
    </row>
    <row r="24" spans="1:24" ht="12.75" customHeight="1" hidden="1">
      <c r="A24" s="49"/>
      <c r="B24" s="28"/>
      <c r="C24" s="29"/>
      <c r="D24" s="29" t="s">
        <v>28</v>
      </c>
      <c r="E24" s="21" t="s">
        <v>14</v>
      </c>
      <c r="F24" s="22"/>
      <c r="G24" s="30" t="s">
        <v>33</v>
      </c>
      <c r="H24" s="20"/>
      <c r="I24" s="20">
        <v>47773</v>
      </c>
      <c r="J24" s="20">
        <v>47773</v>
      </c>
      <c r="K24" s="20">
        <v>47773</v>
      </c>
      <c r="L24" s="20">
        <v>47773</v>
      </c>
      <c r="M24" s="20">
        <v>47773</v>
      </c>
      <c r="N24" s="20">
        <v>47773</v>
      </c>
      <c r="O24" s="20">
        <v>47773</v>
      </c>
      <c r="P24" s="20">
        <v>47773</v>
      </c>
      <c r="Q24" s="20">
        <v>47773</v>
      </c>
      <c r="R24" s="20">
        <v>47773</v>
      </c>
      <c r="S24" s="20">
        <v>47773</v>
      </c>
      <c r="T24" s="20">
        <v>47773</v>
      </c>
      <c r="U24" s="20"/>
      <c r="V24" s="19">
        <f t="shared" si="4"/>
        <v>0</v>
      </c>
      <c r="W24" s="60"/>
      <c r="X24" s="56"/>
    </row>
    <row r="25" spans="1:24" ht="12.75" customHeight="1" hidden="1">
      <c r="A25" s="49"/>
      <c r="B25" s="23" t="s">
        <v>10</v>
      </c>
      <c r="C25" s="24" t="s">
        <v>12</v>
      </c>
      <c r="D25" s="24" t="s">
        <v>30</v>
      </c>
      <c r="E25" s="25"/>
      <c r="F25" s="26"/>
      <c r="G25" s="27" t="s">
        <v>34</v>
      </c>
      <c r="H25" s="20"/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/>
      <c r="V25" s="19">
        <f t="shared" si="4"/>
        <v>0</v>
      </c>
      <c r="W25" s="60"/>
      <c r="X25" s="56"/>
    </row>
    <row r="26" spans="1:24" ht="12.75">
      <c r="A26" s="49"/>
      <c r="B26" s="23" t="s">
        <v>10</v>
      </c>
      <c r="C26" s="24" t="s">
        <v>35</v>
      </c>
      <c r="D26" s="24"/>
      <c r="E26" s="21"/>
      <c r="F26" s="22"/>
      <c r="G26" s="27" t="s">
        <v>36</v>
      </c>
      <c r="H26" s="32">
        <f>+Ingresos!I34</f>
        <v>6323518000</v>
      </c>
      <c r="I26" s="32">
        <f>+Ingresos!J34</f>
        <v>121512150</v>
      </c>
      <c r="J26" s="32">
        <f>+Ingresos!K34</f>
        <v>253943645</v>
      </c>
      <c r="K26" s="32">
        <f>+Ingresos!L34</f>
        <v>3456586673</v>
      </c>
      <c r="L26" s="32">
        <f>+Ingresos!M34</f>
        <v>516601823</v>
      </c>
      <c r="M26" s="32">
        <f>+Ingresos!N34</f>
        <v>323251740</v>
      </c>
      <c r="N26" s="32">
        <f>+Ingresos!O34</f>
        <v>175444484</v>
      </c>
      <c r="O26" s="32">
        <f>+Ingresos!P34</f>
        <v>141072123</v>
      </c>
      <c r="P26" s="32">
        <f>+Ingresos!Q34</f>
        <v>569302565</v>
      </c>
      <c r="Q26" s="32">
        <f>+Ingresos!R34</f>
        <v>494039873</v>
      </c>
      <c r="R26" s="32">
        <f>+Ingresos!S34</f>
        <v>0</v>
      </c>
      <c r="S26" s="32">
        <f>+Ingresos!T34</f>
        <v>0</v>
      </c>
      <c r="T26" s="32">
        <f>+Ingresos!U34</f>
        <v>0</v>
      </c>
      <c r="U26" s="32">
        <f aca="true" t="shared" si="10" ref="U26:U33">SUM(I26:T26)</f>
        <v>6051755076</v>
      </c>
      <c r="V26" s="32">
        <f t="shared" si="4"/>
        <v>271762924</v>
      </c>
      <c r="W26" s="47">
        <f aca="true" t="shared" si="11" ref="W26:W90">SUM(U26/H26)</f>
        <v>0.9570234600423372</v>
      </c>
      <c r="X26" s="56"/>
    </row>
    <row r="27" spans="1:24" ht="12.75" customHeight="1" hidden="1">
      <c r="A27" s="49"/>
      <c r="B27" s="23" t="s">
        <v>10</v>
      </c>
      <c r="C27" s="24" t="s">
        <v>35</v>
      </c>
      <c r="D27" s="24" t="s">
        <v>14</v>
      </c>
      <c r="E27" s="25"/>
      <c r="F27" s="26"/>
      <c r="G27" s="27" t="s">
        <v>37</v>
      </c>
      <c r="H27" s="19">
        <f aca="true" t="shared" si="12" ref="H27:M27">SUM(H28:H29)</f>
        <v>0</v>
      </c>
      <c r="I27" s="19">
        <f t="shared" si="12"/>
        <v>45362</v>
      </c>
      <c r="J27" s="19">
        <f t="shared" si="12"/>
        <v>45362</v>
      </c>
      <c r="K27" s="19">
        <f t="shared" si="12"/>
        <v>45362</v>
      </c>
      <c r="L27" s="19">
        <f t="shared" si="12"/>
        <v>45362</v>
      </c>
      <c r="M27" s="19">
        <f t="shared" si="12"/>
        <v>45362</v>
      </c>
      <c r="N27" s="19">
        <f aca="true" t="shared" si="13" ref="N27:T27">SUM(N28:N29)</f>
        <v>45362</v>
      </c>
      <c r="O27" s="19">
        <f t="shared" si="13"/>
        <v>45362</v>
      </c>
      <c r="P27" s="19">
        <f t="shared" si="13"/>
        <v>45362</v>
      </c>
      <c r="Q27" s="19">
        <f t="shared" si="13"/>
        <v>45362</v>
      </c>
      <c r="R27" s="19">
        <f t="shared" si="13"/>
        <v>45362</v>
      </c>
      <c r="S27" s="19">
        <f t="shared" si="13"/>
        <v>45362</v>
      </c>
      <c r="T27" s="19">
        <f t="shared" si="13"/>
        <v>45362</v>
      </c>
      <c r="U27" s="32">
        <f t="shared" si="10"/>
        <v>544344</v>
      </c>
      <c r="V27" s="19">
        <f t="shared" si="4"/>
        <v>-544344</v>
      </c>
      <c r="W27" s="48" t="e">
        <f t="shared" si="11"/>
        <v>#DIV/0!</v>
      </c>
      <c r="X27" s="56"/>
    </row>
    <row r="28" spans="1:24" ht="12.75" customHeight="1" hidden="1">
      <c r="A28" s="49"/>
      <c r="B28" s="28"/>
      <c r="C28" s="29"/>
      <c r="D28" s="29"/>
      <c r="E28" s="21" t="s">
        <v>14</v>
      </c>
      <c r="F28" s="22"/>
      <c r="G28" s="30" t="s">
        <v>16</v>
      </c>
      <c r="H28" s="20"/>
      <c r="I28" s="20">
        <v>17011</v>
      </c>
      <c r="J28" s="20">
        <v>17011</v>
      </c>
      <c r="K28" s="20">
        <v>17011</v>
      </c>
      <c r="L28" s="20">
        <v>17011</v>
      </c>
      <c r="M28" s="20">
        <v>17011</v>
      </c>
      <c r="N28" s="20">
        <v>17011</v>
      </c>
      <c r="O28" s="20">
        <v>17011</v>
      </c>
      <c r="P28" s="20">
        <v>17011</v>
      </c>
      <c r="Q28" s="20">
        <v>17011</v>
      </c>
      <c r="R28" s="20">
        <v>17011</v>
      </c>
      <c r="S28" s="20">
        <v>17011</v>
      </c>
      <c r="T28" s="20">
        <v>17011</v>
      </c>
      <c r="U28" s="32">
        <f t="shared" si="10"/>
        <v>204132</v>
      </c>
      <c r="V28" s="19">
        <f t="shared" si="4"/>
        <v>-204132</v>
      </c>
      <c r="W28" s="48" t="e">
        <f t="shared" si="11"/>
        <v>#DIV/0!</v>
      </c>
      <c r="X28" s="56"/>
    </row>
    <row r="29" spans="1:24" ht="12.75" customHeight="1" hidden="1">
      <c r="A29" s="49"/>
      <c r="B29" s="28"/>
      <c r="C29" s="29"/>
      <c r="D29" s="29"/>
      <c r="E29" s="21" t="s">
        <v>17</v>
      </c>
      <c r="F29" s="22"/>
      <c r="G29" s="30" t="s">
        <v>18</v>
      </c>
      <c r="H29" s="20"/>
      <c r="I29" s="20">
        <v>28351</v>
      </c>
      <c r="J29" s="20">
        <v>28351</v>
      </c>
      <c r="K29" s="20">
        <v>28351</v>
      </c>
      <c r="L29" s="20">
        <v>28351</v>
      </c>
      <c r="M29" s="20">
        <v>28351</v>
      </c>
      <c r="N29" s="20">
        <v>28351</v>
      </c>
      <c r="O29" s="20">
        <v>28351</v>
      </c>
      <c r="P29" s="20">
        <v>28351</v>
      </c>
      <c r="Q29" s="20">
        <v>28351</v>
      </c>
      <c r="R29" s="20">
        <v>28351</v>
      </c>
      <c r="S29" s="20">
        <v>28351</v>
      </c>
      <c r="T29" s="20">
        <v>28351</v>
      </c>
      <c r="U29" s="32">
        <f t="shared" si="10"/>
        <v>340212</v>
      </c>
      <c r="V29" s="19">
        <f t="shared" si="4"/>
        <v>-340212</v>
      </c>
      <c r="W29" s="48" t="e">
        <f t="shared" si="11"/>
        <v>#DIV/0!</v>
      </c>
      <c r="X29" s="56"/>
    </row>
    <row r="30" spans="1:24" ht="12.75" customHeight="1" hidden="1">
      <c r="A30" s="49"/>
      <c r="B30" s="23" t="s">
        <v>10</v>
      </c>
      <c r="C30" s="24" t="s">
        <v>35</v>
      </c>
      <c r="D30" s="24" t="s">
        <v>17</v>
      </c>
      <c r="E30" s="25"/>
      <c r="F30" s="26"/>
      <c r="G30" s="27" t="s">
        <v>38</v>
      </c>
      <c r="H30" s="20"/>
      <c r="I30" s="20">
        <v>23078</v>
      </c>
      <c r="J30" s="20">
        <v>23078</v>
      </c>
      <c r="K30" s="20">
        <v>23078</v>
      </c>
      <c r="L30" s="20">
        <v>23078</v>
      </c>
      <c r="M30" s="20">
        <v>23078</v>
      </c>
      <c r="N30" s="20">
        <v>23078</v>
      </c>
      <c r="O30" s="20">
        <v>23078</v>
      </c>
      <c r="P30" s="20">
        <v>23078</v>
      </c>
      <c r="Q30" s="20">
        <v>23078</v>
      </c>
      <c r="R30" s="20">
        <v>23078</v>
      </c>
      <c r="S30" s="20">
        <v>23078</v>
      </c>
      <c r="T30" s="20">
        <v>23078</v>
      </c>
      <c r="U30" s="32">
        <f t="shared" si="10"/>
        <v>276936</v>
      </c>
      <c r="V30" s="19">
        <f t="shared" si="4"/>
        <v>-276936</v>
      </c>
      <c r="W30" s="48" t="e">
        <f t="shared" si="11"/>
        <v>#DIV/0!</v>
      </c>
      <c r="X30" s="56"/>
    </row>
    <row r="31" spans="1:24" ht="12.75" customHeight="1" hidden="1">
      <c r="A31" s="49"/>
      <c r="B31" s="23" t="s">
        <v>10</v>
      </c>
      <c r="C31" s="24" t="s">
        <v>35</v>
      </c>
      <c r="D31" s="24" t="s">
        <v>30</v>
      </c>
      <c r="E31" s="25"/>
      <c r="F31" s="26"/>
      <c r="G31" s="27" t="s">
        <v>31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32">
        <f t="shared" si="10"/>
        <v>0</v>
      </c>
      <c r="V31" s="19">
        <f t="shared" si="4"/>
        <v>0</v>
      </c>
      <c r="W31" s="48" t="e">
        <f t="shared" si="11"/>
        <v>#DIV/0!</v>
      </c>
      <c r="X31" s="56"/>
    </row>
    <row r="32" spans="1:24" ht="22.5">
      <c r="A32" s="49"/>
      <c r="B32" s="23" t="s">
        <v>10</v>
      </c>
      <c r="C32" s="24" t="s">
        <v>10</v>
      </c>
      <c r="D32" s="24"/>
      <c r="E32" s="21"/>
      <c r="F32" s="22"/>
      <c r="G32" s="61" t="s">
        <v>39</v>
      </c>
      <c r="H32" s="31">
        <f>+Ingresos!I40</f>
        <v>3932602000</v>
      </c>
      <c r="I32" s="31">
        <f>+Ingresos!J40</f>
        <v>264200966</v>
      </c>
      <c r="J32" s="31">
        <f>+Ingresos!K40</f>
        <v>21165809</v>
      </c>
      <c r="K32" s="31">
        <f>+Ingresos!L40</f>
        <v>39328120</v>
      </c>
      <c r="L32" s="31">
        <f>+Ingresos!M40</f>
        <v>54330816</v>
      </c>
      <c r="M32" s="31">
        <f>+Ingresos!N40</f>
        <v>802430439</v>
      </c>
      <c r="N32" s="31">
        <f>+Ingresos!O40</f>
        <v>131860099</v>
      </c>
      <c r="O32" s="31">
        <f>+Ingresos!P40</f>
        <v>676223706</v>
      </c>
      <c r="P32" s="31">
        <f>+Ingresos!Q40</f>
        <v>133729628</v>
      </c>
      <c r="Q32" s="31">
        <f>+Ingresos!R40</f>
        <v>75795397</v>
      </c>
      <c r="R32" s="31">
        <f>+Ingresos!S40</f>
        <v>0</v>
      </c>
      <c r="S32" s="31">
        <f>+Ingresos!T40</f>
        <v>0</v>
      </c>
      <c r="T32" s="31">
        <f>+Ingresos!U40</f>
        <v>0</v>
      </c>
      <c r="U32" s="32">
        <f t="shared" si="10"/>
        <v>2199064980</v>
      </c>
      <c r="V32" s="32">
        <f t="shared" si="4"/>
        <v>1733537020</v>
      </c>
      <c r="W32" s="47">
        <f t="shared" si="11"/>
        <v>0.5591882880596613</v>
      </c>
      <c r="X32" s="56"/>
    </row>
    <row r="33" spans="1:24" ht="12.75" hidden="1">
      <c r="A33" s="49"/>
      <c r="B33" s="23" t="s">
        <v>10</v>
      </c>
      <c r="C33" s="24" t="s">
        <v>40</v>
      </c>
      <c r="D33" s="24"/>
      <c r="E33" s="21"/>
      <c r="F33" s="22"/>
      <c r="G33" s="27" t="s">
        <v>41</v>
      </c>
      <c r="H33" s="31">
        <f>+Ingresos!I41</f>
        <v>0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2">
        <f t="shared" si="10"/>
        <v>0</v>
      </c>
      <c r="V33" s="32">
        <f t="shared" si="4"/>
        <v>0</v>
      </c>
      <c r="W33" s="47"/>
      <c r="X33" s="56"/>
    </row>
    <row r="34" spans="1:24" ht="12.75">
      <c r="A34" s="49"/>
      <c r="B34" s="28"/>
      <c r="C34" s="29"/>
      <c r="D34" s="29"/>
      <c r="E34" s="21"/>
      <c r="F34" s="22"/>
      <c r="G34" s="27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47"/>
      <c r="X34" s="56"/>
    </row>
    <row r="35" spans="1:24" ht="12.75">
      <c r="A35" s="49"/>
      <c r="B35" s="168" t="s">
        <v>42</v>
      </c>
      <c r="C35" s="169"/>
      <c r="D35" s="169"/>
      <c r="E35" s="170"/>
      <c r="F35" s="171"/>
      <c r="G35" s="172" t="s">
        <v>43</v>
      </c>
      <c r="H35" s="174">
        <f>SUM(H36+H37+H58+H59+H60+H61+H62)</f>
        <v>10496988000</v>
      </c>
      <c r="I35" s="174">
        <f aca="true" t="shared" si="14" ref="I35:R35">SUM(I36+I37+I58+I59+I60+I61+I62)</f>
        <v>14256900</v>
      </c>
      <c r="J35" s="174">
        <f t="shared" si="14"/>
        <v>307947171</v>
      </c>
      <c r="K35" s="174">
        <f t="shared" si="14"/>
        <v>0</v>
      </c>
      <c r="L35" s="174">
        <f t="shared" si="14"/>
        <v>0</v>
      </c>
      <c r="M35" s="174">
        <f t="shared" si="14"/>
        <v>349158574</v>
      </c>
      <c r="N35" s="174">
        <f t="shared" si="14"/>
        <v>203293215</v>
      </c>
      <c r="O35" s="174">
        <f t="shared" si="14"/>
        <v>7343762147</v>
      </c>
      <c r="P35" s="174">
        <f t="shared" si="14"/>
        <v>1343260507</v>
      </c>
      <c r="Q35" s="174">
        <f t="shared" si="14"/>
        <v>857146361</v>
      </c>
      <c r="R35" s="174">
        <f t="shared" si="14"/>
        <v>0</v>
      </c>
      <c r="S35" s="174">
        <f>SUM(S36+S37+S58+S59+S60+S61+S62)</f>
        <v>0</v>
      </c>
      <c r="T35" s="174">
        <f>SUM(T36+T37+T58+T59+T60+T61+T62)</f>
        <v>0</v>
      </c>
      <c r="U35" s="174">
        <f>SUM(U36+U37+U58+U59+U60+U61+U62)</f>
        <v>10418824875</v>
      </c>
      <c r="V35" s="174">
        <f t="shared" si="4"/>
        <v>78163125</v>
      </c>
      <c r="W35" s="175">
        <f t="shared" si="11"/>
        <v>0.9925537568491076</v>
      </c>
      <c r="X35" s="56"/>
    </row>
    <row r="36" spans="1:24" ht="12.75">
      <c r="A36" s="49"/>
      <c r="B36" s="23" t="s">
        <v>42</v>
      </c>
      <c r="C36" s="24" t="s">
        <v>12</v>
      </c>
      <c r="D36" s="24"/>
      <c r="E36" s="21"/>
      <c r="F36" s="22"/>
      <c r="G36" s="27" t="s">
        <v>44</v>
      </c>
      <c r="H36" s="31">
        <f>+Ingresos!I44</f>
        <v>193179000</v>
      </c>
      <c r="I36" s="31">
        <f>+Ingresos!J44</f>
        <v>0</v>
      </c>
      <c r="J36" s="31">
        <f>+Ingresos!K44</f>
        <v>0</v>
      </c>
      <c r="K36" s="31">
        <f>+Ingresos!L44</f>
        <v>0</v>
      </c>
      <c r="L36" s="31">
        <f>+Ingresos!M44</f>
        <v>0</v>
      </c>
      <c r="M36" s="31">
        <f>+Ingresos!N44</f>
        <v>4923769</v>
      </c>
      <c r="N36" s="31">
        <f>+Ingresos!O44</f>
        <v>183660182</v>
      </c>
      <c r="O36" s="31">
        <f>+Ingresos!P44</f>
        <v>744041</v>
      </c>
      <c r="P36" s="31">
        <f>+Ingresos!Q44</f>
        <v>0</v>
      </c>
      <c r="Q36" s="31">
        <f>+Ingresos!R44</f>
        <v>0</v>
      </c>
      <c r="R36" s="31">
        <f>+Ingresos!S44</f>
        <v>0</v>
      </c>
      <c r="S36" s="31">
        <f>+Ingresos!T44</f>
        <v>0</v>
      </c>
      <c r="T36" s="31">
        <f>+Ingresos!U44</f>
        <v>0</v>
      </c>
      <c r="U36" s="32">
        <f>SUM(I36:T36)</f>
        <v>189327992</v>
      </c>
      <c r="V36" s="32">
        <f t="shared" si="4"/>
        <v>3851008</v>
      </c>
      <c r="W36" s="47">
        <f t="shared" si="11"/>
        <v>0.9800650795376309</v>
      </c>
      <c r="X36" s="56"/>
    </row>
    <row r="37" spans="1:24" ht="12.75">
      <c r="A37" s="49"/>
      <c r="B37" s="23" t="s">
        <v>42</v>
      </c>
      <c r="C37" s="24" t="s">
        <v>10</v>
      </c>
      <c r="D37" s="24"/>
      <c r="E37" s="21"/>
      <c r="F37" s="22"/>
      <c r="G37" s="27" t="s">
        <v>45</v>
      </c>
      <c r="H37" s="32">
        <f>+Ingresos!I45</f>
        <v>10303809000</v>
      </c>
      <c r="I37" s="32">
        <f>+Ingresos!J45</f>
        <v>14256900</v>
      </c>
      <c r="J37" s="32">
        <f>+Ingresos!K45</f>
        <v>307947171</v>
      </c>
      <c r="K37" s="32">
        <f>+Ingresos!L45</f>
        <v>0</v>
      </c>
      <c r="L37" s="32">
        <f>+Ingresos!M45</f>
        <v>0</v>
      </c>
      <c r="M37" s="32">
        <f>+Ingresos!N45</f>
        <v>344234805</v>
      </c>
      <c r="N37" s="32">
        <f>+Ingresos!O45</f>
        <v>19633033</v>
      </c>
      <c r="O37" s="32">
        <f>+Ingresos!P45</f>
        <v>7343018106</v>
      </c>
      <c r="P37" s="32">
        <f>+Ingresos!Q45</f>
        <v>1343260507</v>
      </c>
      <c r="Q37" s="32">
        <f>+Ingresos!R45</f>
        <v>857146361</v>
      </c>
      <c r="R37" s="32">
        <f>+Ingresos!S45</f>
        <v>0</v>
      </c>
      <c r="S37" s="32">
        <f>+Ingresos!T45</f>
        <v>0</v>
      </c>
      <c r="T37" s="32">
        <f>+Ingresos!U45</f>
        <v>0</v>
      </c>
      <c r="U37" s="32">
        <f>SUM(I37:T37)</f>
        <v>10229496883</v>
      </c>
      <c r="V37" s="32">
        <f t="shared" si="4"/>
        <v>74312117</v>
      </c>
      <c r="W37" s="47">
        <f t="shared" si="11"/>
        <v>0.9927878984363938</v>
      </c>
      <c r="X37" s="56"/>
    </row>
    <row r="38" spans="1:24" ht="12.75" customHeight="1" hidden="1">
      <c r="A38" s="49"/>
      <c r="B38" s="23" t="s">
        <v>46</v>
      </c>
      <c r="C38" s="24" t="s">
        <v>10</v>
      </c>
      <c r="D38" s="24" t="s">
        <v>17</v>
      </c>
      <c r="E38" s="25"/>
      <c r="F38" s="26"/>
      <c r="G38" s="27" t="s">
        <v>47</v>
      </c>
      <c r="H38" s="19">
        <f>SUM(H39)</f>
        <v>0</v>
      </c>
      <c r="I38" s="19">
        <f aca="true" t="shared" si="15" ref="I38:T38">SUM(I39)</f>
        <v>21420</v>
      </c>
      <c r="J38" s="19">
        <f t="shared" si="15"/>
        <v>21420</v>
      </c>
      <c r="K38" s="19">
        <f t="shared" si="15"/>
        <v>21420</v>
      </c>
      <c r="L38" s="19">
        <f t="shared" si="15"/>
        <v>21420</v>
      </c>
      <c r="M38" s="19">
        <f t="shared" si="15"/>
        <v>21420</v>
      </c>
      <c r="N38" s="19">
        <f t="shared" si="15"/>
        <v>21420</v>
      </c>
      <c r="O38" s="19">
        <f t="shared" si="15"/>
        <v>21420</v>
      </c>
      <c r="P38" s="19">
        <f t="shared" si="15"/>
        <v>21420</v>
      </c>
      <c r="Q38" s="19">
        <f t="shared" si="15"/>
        <v>21420</v>
      </c>
      <c r="R38" s="19">
        <f t="shared" si="15"/>
        <v>21420</v>
      </c>
      <c r="S38" s="19">
        <f t="shared" si="15"/>
        <v>21420</v>
      </c>
      <c r="T38" s="19">
        <f t="shared" si="15"/>
        <v>21420</v>
      </c>
      <c r="U38" s="19">
        <f>SUM(U39)</f>
        <v>0</v>
      </c>
      <c r="V38" s="19">
        <f t="shared" si="4"/>
        <v>0</v>
      </c>
      <c r="W38" s="48" t="e">
        <f t="shared" si="11"/>
        <v>#DIV/0!</v>
      </c>
      <c r="X38" s="56"/>
    </row>
    <row r="39" spans="1:24" ht="12.75" customHeight="1" hidden="1">
      <c r="A39" s="49"/>
      <c r="B39" s="28"/>
      <c r="C39" s="29"/>
      <c r="D39" s="29"/>
      <c r="E39" s="21" t="s">
        <v>14</v>
      </c>
      <c r="F39" s="22"/>
      <c r="G39" s="30" t="s">
        <v>48</v>
      </c>
      <c r="H39" s="20"/>
      <c r="I39" s="20">
        <v>21420</v>
      </c>
      <c r="J39" s="20">
        <v>21420</v>
      </c>
      <c r="K39" s="20">
        <v>21420</v>
      </c>
      <c r="L39" s="20">
        <v>21420</v>
      </c>
      <c r="M39" s="20">
        <v>21420</v>
      </c>
      <c r="N39" s="20">
        <v>21420</v>
      </c>
      <c r="O39" s="20">
        <v>21420</v>
      </c>
      <c r="P39" s="20">
        <v>21420</v>
      </c>
      <c r="Q39" s="20">
        <v>21420</v>
      </c>
      <c r="R39" s="20">
        <v>21420</v>
      </c>
      <c r="S39" s="20">
        <v>21420</v>
      </c>
      <c r="T39" s="20">
        <v>21420</v>
      </c>
      <c r="U39" s="20"/>
      <c r="V39" s="19">
        <f t="shared" si="4"/>
        <v>0</v>
      </c>
      <c r="W39" s="48" t="e">
        <f t="shared" si="11"/>
        <v>#DIV/0!</v>
      </c>
      <c r="X39" s="56"/>
    </row>
    <row r="40" spans="1:24" ht="12.75" customHeight="1" hidden="1">
      <c r="A40" s="49"/>
      <c r="B40" s="23" t="s">
        <v>42</v>
      </c>
      <c r="C40" s="24" t="s">
        <v>10</v>
      </c>
      <c r="D40" s="24" t="s">
        <v>22</v>
      </c>
      <c r="E40" s="25"/>
      <c r="F40" s="26"/>
      <c r="G40" s="27" t="s">
        <v>49</v>
      </c>
      <c r="H40" s="19">
        <f aca="true" t="shared" si="16" ref="H40:M40">SUM(H41:H42)</f>
        <v>0</v>
      </c>
      <c r="I40" s="19">
        <f t="shared" si="16"/>
        <v>0</v>
      </c>
      <c r="J40" s="19">
        <f t="shared" si="16"/>
        <v>0</v>
      </c>
      <c r="K40" s="19">
        <f t="shared" si="16"/>
        <v>0</v>
      </c>
      <c r="L40" s="19">
        <f t="shared" si="16"/>
        <v>0</v>
      </c>
      <c r="M40" s="19">
        <f t="shared" si="16"/>
        <v>0</v>
      </c>
      <c r="N40" s="19">
        <f aca="true" t="shared" si="17" ref="N40:T40">SUM(N41:N42)</f>
        <v>0</v>
      </c>
      <c r="O40" s="19">
        <f t="shared" si="17"/>
        <v>0</v>
      </c>
      <c r="P40" s="19">
        <f t="shared" si="17"/>
        <v>0</v>
      </c>
      <c r="Q40" s="19">
        <f t="shared" si="17"/>
        <v>0</v>
      </c>
      <c r="R40" s="19">
        <f t="shared" si="17"/>
        <v>0</v>
      </c>
      <c r="S40" s="19">
        <f t="shared" si="17"/>
        <v>0</v>
      </c>
      <c r="T40" s="19">
        <f t="shared" si="17"/>
        <v>0</v>
      </c>
      <c r="U40" s="19">
        <f>SUM(U41:U42)</f>
        <v>0</v>
      </c>
      <c r="V40" s="19">
        <f t="shared" si="4"/>
        <v>0</v>
      </c>
      <c r="W40" s="48" t="e">
        <f t="shared" si="11"/>
        <v>#DIV/0!</v>
      </c>
      <c r="X40" s="56"/>
    </row>
    <row r="41" spans="1:24" ht="12.75" customHeight="1" hidden="1">
      <c r="A41" s="49"/>
      <c r="B41" s="28"/>
      <c r="C41" s="29"/>
      <c r="D41" s="29"/>
      <c r="E41" s="21" t="s">
        <v>14</v>
      </c>
      <c r="F41" s="22"/>
      <c r="G41" s="30" t="s">
        <v>50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19">
        <f t="shared" si="4"/>
        <v>0</v>
      </c>
      <c r="W41" s="48" t="e">
        <f t="shared" si="11"/>
        <v>#DIV/0!</v>
      </c>
      <c r="X41" s="56"/>
    </row>
    <row r="42" spans="1:24" ht="12.75" customHeight="1" hidden="1">
      <c r="A42" s="49"/>
      <c r="B42" s="28"/>
      <c r="C42" s="29"/>
      <c r="D42" s="29"/>
      <c r="E42" s="21" t="s">
        <v>17</v>
      </c>
      <c r="F42" s="22"/>
      <c r="G42" s="30" t="s">
        <v>51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19">
        <f t="shared" si="4"/>
        <v>0</v>
      </c>
      <c r="W42" s="48" t="e">
        <f t="shared" si="11"/>
        <v>#DIV/0!</v>
      </c>
      <c r="X42" s="56"/>
    </row>
    <row r="43" spans="1:24" ht="12.75" customHeight="1" hidden="1">
      <c r="A43" s="49"/>
      <c r="B43" s="23" t="s">
        <v>42</v>
      </c>
      <c r="C43" s="24" t="s">
        <v>10</v>
      </c>
      <c r="D43" s="24" t="s">
        <v>28</v>
      </c>
      <c r="E43" s="25"/>
      <c r="F43" s="26"/>
      <c r="G43" s="27" t="s">
        <v>52</v>
      </c>
      <c r="H43" s="19">
        <f>SUM(H44)</f>
        <v>0</v>
      </c>
      <c r="I43" s="19">
        <f aca="true" t="shared" si="18" ref="I43:T43">SUM(I44)</f>
        <v>0</v>
      </c>
      <c r="J43" s="19">
        <f t="shared" si="18"/>
        <v>0</v>
      </c>
      <c r="K43" s="19">
        <f t="shared" si="18"/>
        <v>0</v>
      </c>
      <c r="L43" s="19">
        <f t="shared" si="18"/>
        <v>0</v>
      </c>
      <c r="M43" s="19">
        <f t="shared" si="18"/>
        <v>0</v>
      </c>
      <c r="N43" s="19">
        <f t="shared" si="18"/>
        <v>0</v>
      </c>
      <c r="O43" s="19">
        <f t="shared" si="18"/>
        <v>0</v>
      </c>
      <c r="P43" s="19">
        <f t="shared" si="18"/>
        <v>0</v>
      </c>
      <c r="Q43" s="19">
        <f t="shared" si="18"/>
        <v>0</v>
      </c>
      <c r="R43" s="19">
        <f t="shared" si="18"/>
        <v>0</v>
      </c>
      <c r="S43" s="19">
        <f t="shared" si="18"/>
        <v>0</v>
      </c>
      <c r="T43" s="19">
        <f t="shared" si="18"/>
        <v>0</v>
      </c>
      <c r="U43" s="19">
        <f>SUM(U44)</f>
        <v>0</v>
      </c>
      <c r="V43" s="19">
        <f t="shared" si="4"/>
        <v>0</v>
      </c>
      <c r="W43" s="48" t="e">
        <f t="shared" si="11"/>
        <v>#DIV/0!</v>
      </c>
      <c r="X43" s="56"/>
    </row>
    <row r="44" spans="1:24" ht="12.75" customHeight="1" hidden="1">
      <c r="A44" s="49"/>
      <c r="B44" s="28"/>
      <c r="C44" s="29"/>
      <c r="D44" s="29"/>
      <c r="E44" s="21" t="s">
        <v>14</v>
      </c>
      <c r="F44" s="22"/>
      <c r="G44" s="30" t="s">
        <v>53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19">
        <f t="shared" si="4"/>
        <v>0</v>
      </c>
      <c r="W44" s="48" t="e">
        <f t="shared" si="11"/>
        <v>#DIV/0!</v>
      </c>
      <c r="X44" s="56"/>
    </row>
    <row r="45" spans="1:24" ht="12.75" customHeight="1" hidden="1">
      <c r="A45" s="49"/>
      <c r="B45" s="23" t="s">
        <v>42</v>
      </c>
      <c r="C45" s="24" t="s">
        <v>10</v>
      </c>
      <c r="D45" s="24" t="s">
        <v>54</v>
      </c>
      <c r="E45" s="25"/>
      <c r="F45" s="26"/>
      <c r="G45" s="27" t="s">
        <v>55</v>
      </c>
      <c r="H45" s="19">
        <f>SUM(H46)</f>
        <v>0</v>
      </c>
      <c r="I45" s="19">
        <f aca="true" t="shared" si="19" ref="I45:T45">SUM(I46)</f>
        <v>0</v>
      </c>
      <c r="J45" s="19">
        <f t="shared" si="19"/>
        <v>0</v>
      </c>
      <c r="K45" s="19">
        <f t="shared" si="19"/>
        <v>0</v>
      </c>
      <c r="L45" s="19">
        <f t="shared" si="19"/>
        <v>0</v>
      </c>
      <c r="M45" s="19">
        <f t="shared" si="19"/>
        <v>0</v>
      </c>
      <c r="N45" s="19">
        <f t="shared" si="19"/>
        <v>0</v>
      </c>
      <c r="O45" s="19">
        <f t="shared" si="19"/>
        <v>0</v>
      </c>
      <c r="P45" s="19">
        <f t="shared" si="19"/>
        <v>0</v>
      </c>
      <c r="Q45" s="19">
        <f t="shared" si="19"/>
        <v>0</v>
      </c>
      <c r="R45" s="19">
        <f t="shared" si="19"/>
        <v>0</v>
      </c>
      <c r="S45" s="19">
        <f t="shared" si="19"/>
        <v>0</v>
      </c>
      <c r="T45" s="19">
        <f t="shared" si="19"/>
        <v>0</v>
      </c>
      <c r="U45" s="19">
        <f>SUM(U46)</f>
        <v>0</v>
      </c>
      <c r="V45" s="19">
        <f t="shared" si="4"/>
        <v>0</v>
      </c>
      <c r="W45" s="48" t="e">
        <f t="shared" si="11"/>
        <v>#DIV/0!</v>
      </c>
      <c r="X45" s="56"/>
    </row>
    <row r="46" spans="1:24" ht="12.75" customHeight="1" hidden="1">
      <c r="A46" s="49"/>
      <c r="B46" s="28"/>
      <c r="C46" s="29"/>
      <c r="D46" s="29"/>
      <c r="E46" s="21" t="s">
        <v>14</v>
      </c>
      <c r="F46" s="22"/>
      <c r="G46" s="30" t="s">
        <v>56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19">
        <f t="shared" si="4"/>
        <v>0</v>
      </c>
      <c r="W46" s="48" t="e">
        <f t="shared" si="11"/>
        <v>#DIV/0!</v>
      </c>
      <c r="X46" s="56"/>
    </row>
    <row r="47" spans="1:24" ht="12.75" customHeight="1" hidden="1">
      <c r="A47" s="49"/>
      <c r="B47" s="23" t="s">
        <v>42</v>
      </c>
      <c r="C47" s="24" t="s">
        <v>10</v>
      </c>
      <c r="D47" s="24" t="s">
        <v>57</v>
      </c>
      <c r="E47" s="25"/>
      <c r="F47" s="26"/>
      <c r="G47" s="27" t="s">
        <v>58</v>
      </c>
      <c r="H47" s="19">
        <f aca="true" t="shared" si="20" ref="H47:M47">SUM(H48:H49)</f>
        <v>0</v>
      </c>
      <c r="I47" s="19">
        <f t="shared" si="20"/>
        <v>0</v>
      </c>
      <c r="J47" s="19">
        <f t="shared" si="20"/>
        <v>0</v>
      </c>
      <c r="K47" s="19">
        <f t="shared" si="20"/>
        <v>0</v>
      </c>
      <c r="L47" s="19">
        <f t="shared" si="20"/>
        <v>0</v>
      </c>
      <c r="M47" s="19">
        <f t="shared" si="20"/>
        <v>0</v>
      </c>
      <c r="N47" s="19">
        <f aca="true" t="shared" si="21" ref="N47:T47">SUM(N48:N49)</f>
        <v>0</v>
      </c>
      <c r="O47" s="19">
        <f t="shared" si="21"/>
        <v>0</v>
      </c>
      <c r="P47" s="19">
        <f t="shared" si="21"/>
        <v>0</v>
      </c>
      <c r="Q47" s="19">
        <f t="shared" si="21"/>
        <v>0</v>
      </c>
      <c r="R47" s="19">
        <f t="shared" si="21"/>
        <v>0</v>
      </c>
      <c r="S47" s="19">
        <f t="shared" si="21"/>
        <v>0</v>
      </c>
      <c r="T47" s="19">
        <f t="shared" si="21"/>
        <v>0</v>
      </c>
      <c r="U47" s="19">
        <f>SUM(U48:U49)</f>
        <v>0</v>
      </c>
      <c r="V47" s="19">
        <f t="shared" si="4"/>
        <v>0</v>
      </c>
      <c r="W47" s="48" t="e">
        <f t="shared" si="11"/>
        <v>#DIV/0!</v>
      </c>
      <c r="X47" s="56"/>
    </row>
    <row r="48" spans="1:24" ht="12.75" customHeight="1" hidden="1">
      <c r="A48" s="49"/>
      <c r="B48" s="28"/>
      <c r="C48" s="29"/>
      <c r="D48" s="29"/>
      <c r="E48" s="21" t="s">
        <v>14</v>
      </c>
      <c r="F48" s="22"/>
      <c r="G48" s="30" t="s">
        <v>59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19">
        <f t="shared" si="4"/>
        <v>0</v>
      </c>
      <c r="W48" s="48" t="e">
        <f t="shared" si="11"/>
        <v>#DIV/0!</v>
      </c>
      <c r="X48" s="56"/>
    </row>
    <row r="49" spans="1:24" ht="12.75" customHeight="1" hidden="1">
      <c r="A49" s="49"/>
      <c r="B49" s="28"/>
      <c r="C49" s="29"/>
      <c r="D49" s="29"/>
      <c r="E49" s="21" t="s">
        <v>17</v>
      </c>
      <c r="F49" s="22"/>
      <c r="G49" s="30" t="s">
        <v>60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19">
        <f t="shared" si="4"/>
        <v>0</v>
      </c>
      <c r="W49" s="48" t="e">
        <f t="shared" si="11"/>
        <v>#DIV/0!</v>
      </c>
      <c r="X49" s="56"/>
    </row>
    <row r="50" spans="1:24" ht="12.75" customHeight="1" hidden="1">
      <c r="A50" s="49"/>
      <c r="B50" s="23" t="s">
        <v>42</v>
      </c>
      <c r="C50" s="24" t="s">
        <v>10</v>
      </c>
      <c r="D50" s="24" t="s">
        <v>61</v>
      </c>
      <c r="E50" s="25"/>
      <c r="F50" s="26"/>
      <c r="G50" s="27" t="s">
        <v>62</v>
      </c>
      <c r="H50" s="19">
        <f aca="true" t="shared" si="22" ref="H50:M50">SUM(H51:H52)</f>
        <v>0</v>
      </c>
      <c r="I50" s="19">
        <f t="shared" si="22"/>
        <v>0</v>
      </c>
      <c r="J50" s="19">
        <f t="shared" si="22"/>
        <v>0</v>
      </c>
      <c r="K50" s="19">
        <f t="shared" si="22"/>
        <v>0</v>
      </c>
      <c r="L50" s="19">
        <f t="shared" si="22"/>
        <v>0</v>
      </c>
      <c r="M50" s="19">
        <f t="shared" si="22"/>
        <v>0</v>
      </c>
      <c r="N50" s="19">
        <f aca="true" t="shared" si="23" ref="N50:T50">SUM(N51:N52)</f>
        <v>0</v>
      </c>
      <c r="O50" s="19">
        <f t="shared" si="23"/>
        <v>0</v>
      </c>
      <c r="P50" s="19">
        <f t="shared" si="23"/>
        <v>0</v>
      </c>
      <c r="Q50" s="19">
        <f t="shared" si="23"/>
        <v>0</v>
      </c>
      <c r="R50" s="19">
        <f t="shared" si="23"/>
        <v>0</v>
      </c>
      <c r="S50" s="19">
        <f t="shared" si="23"/>
        <v>0</v>
      </c>
      <c r="T50" s="19">
        <f t="shared" si="23"/>
        <v>0</v>
      </c>
      <c r="U50" s="19">
        <f>SUM(U51:U52)</f>
        <v>0</v>
      </c>
      <c r="V50" s="19">
        <f t="shared" si="4"/>
        <v>0</v>
      </c>
      <c r="W50" s="48" t="e">
        <f t="shared" si="11"/>
        <v>#DIV/0!</v>
      </c>
      <c r="X50" s="56"/>
    </row>
    <row r="51" spans="1:24" ht="12.75" customHeight="1" hidden="1">
      <c r="A51" s="49"/>
      <c r="B51" s="28"/>
      <c r="C51" s="29"/>
      <c r="D51" s="29"/>
      <c r="E51" s="21" t="s">
        <v>14</v>
      </c>
      <c r="F51" s="22"/>
      <c r="G51" s="30" t="s">
        <v>63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19">
        <f t="shared" si="4"/>
        <v>0</v>
      </c>
      <c r="W51" s="48" t="e">
        <f t="shared" si="11"/>
        <v>#DIV/0!</v>
      </c>
      <c r="X51" s="56"/>
    </row>
    <row r="52" spans="1:24" ht="12.75" customHeight="1" hidden="1">
      <c r="A52" s="49"/>
      <c r="B52" s="28"/>
      <c r="C52" s="29"/>
      <c r="D52" s="29"/>
      <c r="E52" s="21" t="s">
        <v>17</v>
      </c>
      <c r="F52" s="22"/>
      <c r="G52" s="30" t="s">
        <v>64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19">
        <f t="shared" si="4"/>
        <v>0</v>
      </c>
      <c r="W52" s="48" t="e">
        <f t="shared" si="11"/>
        <v>#DIV/0!</v>
      </c>
      <c r="X52" s="56"/>
    </row>
    <row r="53" spans="1:24" ht="12.75" customHeight="1" hidden="1">
      <c r="A53" s="49"/>
      <c r="B53" s="23" t="s">
        <v>42</v>
      </c>
      <c r="C53" s="24" t="s">
        <v>10</v>
      </c>
      <c r="D53" s="24" t="s">
        <v>65</v>
      </c>
      <c r="E53" s="25"/>
      <c r="F53" s="26"/>
      <c r="G53" s="27" t="s">
        <v>66</v>
      </c>
      <c r="H53" s="19">
        <f>SUM(H54)</f>
        <v>0</v>
      </c>
      <c r="I53" s="19">
        <f aca="true" t="shared" si="24" ref="I53:T53">SUM(I54)</f>
        <v>0</v>
      </c>
      <c r="J53" s="19">
        <f t="shared" si="24"/>
        <v>0</v>
      </c>
      <c r="K53" s="19">
        <f t="shared" si="24"/>
        <v>0</v>
      </c>
      <c r="L53" s="19">
        <f t="shared" si="24"/>
        <v>0</v>
      </c>
      <c r="M53" s="19">
        <f t="shared" si="24"/>
        <v>0</v>
      </c>
      <c r="N53" s="19">
        <f t="shared" si="24"/>
        <v>0</v>
      </c>
      <c r="O53" s="19">
        <f t="shared" si="24"/>
        <v>0</v>
      </c>
      <c r="P53" s="19">
        <f t="shared" si="24"/>
        <v>0</v>
      </c>
      <c r="Q53" s="19">
        <f t="shared" si="24"/>
        <v>0</v>
      </c>
      <c r="R53" s="19">
        <f t="shared" si="24"/>
        <v>0</v>
      </c>
      <c r="S53" s="19">
        <f t="shared" si="24"/>
        <v>0</v>
      </c>
      <c r="T53" s="19">
        <f t="shared" si="24"/>
        <v>0</v>
      </c>
      <c r="U53" s="19">
        <f>SUM(U54)</f>
        <v>0</v>
      </c>
      <c r="V53" s="19">
        <f t="shared" si="4"/>
        <v>0</v>
      </c>
      <c r="W53" s="48" t="e">
        <f t="shared" si="11"/>
        <v>#DIV/0!</v>
      </c>
      <c r="X53" s="56"/>
    </row>
    <row r="54" spans="1:24" ht="12.75" customHeight="1" hidden="1">
      <c r="A54" s="49"/>
      <c r="B54" s="28"/>
      <c r="C54" s="29"/>
      <c r="D54" s="29"/>
      <c r="E54" s="21" t="s">
        <v>14</v>
      </c>
      <c r="F54" s="22"/>
      <c r="G54" s="30" t="s">
        <v>67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19">
        <f t="shared" si="4"/>
        <v>0</v>
      </c>
      <c r="W54" s="48" t="e">
        <f t="shared" si="11"/>
        <v>#DIV/0!</v>
      </c>
      <c r="X54" s="56"/>
    </row>
    <row r="55" spans="1:24" ht="12.75" customHeight="1" hidden="1">
      <c r="A55" s="49"/>
      <c r="B55" s="23" t="s">
        <v>42</v>
      </c>
      <c r="C55" s="24" t="s">
        <v>10</v>
      </c>
      <c r="D55" s="24" t="s">
        <v>30</v>
      </c>
      <c r="E55" s="25"/>
      <c r="F55" s="26"/>
      <c r="G55" s="27" t="s">
        <v>68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19">
        <f t="shared" si="4"/>
        <v>0</v>
      </c>
      <c r="W55" s="48" t="e">
        <f t="shared" si="11"/>
        <v>#DIV/0!</v>
      </c>
      <c r="X55" s="56"/>
    </row>
    <row r="56" spans="1:24" ht="12.75" customHeight="1" hidden="1">
      <c r="A56" s="49"/>
      <c r="B56" s="23" t="s">
        <v>42</v>
      </c>
      <c r="C56" s="24" t="s">
        <v>10</v>
      </c>
      <c r="D56" s="24" t="s">
        <v>69</v>
      </c>
      <c r="E56" s="25"/>
      <c r="F56" s="26"/>
      <c r="G56" s="27" t="s">
        <v>70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19">
        <f t="shared" si="4"/>
        <v>0</v>
      </c>
      <c r="W56" s="48" t="e">
        <f t="shared" si="11"/>
        <v>#DIV/0!</v>
      </c>
      <c r="X56" s="56"/>
    </row>
    <row r="57" spans="1:24" ht="12.75" customHeight="1" hidden="1">
      <c r="A57" s="49"/>
      <c r="B57" s="23" t="s">
        <v>42</v>
      </c>
      <c r="C57" s="24" t="s">
        <v>10</v>
      </c>
      <c r="D57" s="24" t="s">
        <v>71</v>
      </c>
      <c r="E57" s="25"/>
      <c r="F57" s="26"/>
      <c r="G57" s="27" t="s">
        <v>72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19">
        <f t="shared" si="4"/>
        <v>0</v>
      </c>
      <c r="W57" s="48" t="e">
        <f t="shared" si="11"/>
        <v>#DIV/0!</v>
      </c>
      <c r="X57" s="56"/>
    </row>
    <row r="58" spans="1:24" ht="12.75" customHeight="1" hidden="1">
      <c r="A58" s="49"/>
      <c r="B58" s="23" t="s">
        <v>42</v>
      </c>
      <c r="C58" s="24" t="s">
        <v>73</v>
      </c>
      <c r="D58" s="24"/>
      <c r="E58" s="25"/>
      <c r="F58" s="26"/>
      <c r="G58" s="27" t="s">
        <v>74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19">
        <f t="shared" si="4"/>
        <v>0</v>
      </c>
      <c r="W58" s="48" t="e">
        <f t="shared" si="11"/>
        <v>#DIV/0!</v>
      </c>
      <c r="X58" s="56"/>
    </row>
    <row r="59" spans="1:24" ht="12.75" customHeight="1" hidden="1">
      <c r="A59" s="49"/>
      <c r="B59" s="23" t="s">
        <v>42</v>
      </c>
      <c r="C59" s="24" t="s">
        <v>42</v>
      </c>
      <c r="D59" s="24"/>
      <c r="E59" s="25"/>
      <c r="F59" s="26"/>
      <c r="G59" s="27" t="s">
        <v>75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19">
        <f t="shared" si="4"/>
        <v>0</v>
      </c>
      <c r="W59" s="48" t="e">
        <f t="shared" si="11"/>
        <v>#DIV/0!</v>
      </c>
      <c r="X59" s="56"/>
    </row>
    <row r="60" spans="1:24" ht="12.75" customHeight="1" hidden="1">
      <c r="A60" s="49"/>
      <c r="B60" s="23" t="s">
        <v>42</v>
      </c>
      <c r="C60" s="24" t="s">
        <v>76</v>
      </c>
      <c r="D60" s="24"/>
      <c r="E60" s="25"/>
      <c r="F60" s="26"/>
      <c r="G60" s="27" t="s">
        <v>77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19">
        <f t="shared" si="4"/>
        <v>0</v>
      </c>
      <c r="W60" s="48" t="e">
        <f t="shared" si="11"/>
        <v>#DIV/0!</v>
      </c>
      <c r="X60" s="56"/>
    </row>
    <row r="61" spans="1:24" ht="12.75" customHeight="1" hidden="1">
      <c r="A61" s="49"/>
      <c r="B61" s="23" t="s">
        <v>42</v>
      </c>
      <c r="C61" s="24" t="s">
        <v>78</v>
      </c>
      <c r="D61" s="24"/>
      <c r="E61" s="25"/>
      <c r="F61" s="26"/>
      <c r="G61" s="27" t="s">
        <v>79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19">
        <f t="shared" si="4"/>
        <v>0</v>
      </c>
      <c r="W61" s="48" t="e">
        <f t="shared" si="11"/>
        <v>#DIV/0!</v>
      </c>
      <c r="X61" s="56"/>
    </row>
    <row r="62" spans="1:24" ht="12.75" customHeight="1" hidden="1">
      <c r="A62" s="49"/>
      <c r="B62" s="23" t="s">
        <v>42</v>
      </c>
      <c r="C62" s="24" t="s">
        <v>78</v>
      </c>
      <c r="D62" s="24"/>
      <c r="E62" s="25"/>
      <c r="F62" s="26"/>
      <c r="G62" s="27" t="s">
        <v>79</v>
      </c>
      <c r="H62" s="32">
        <f>+Ingresos!I57</f>
        <v>0</v>
      </c>
      <c r="I62" s="20"/>
      <c r="J62" s="20"/>
      <c r="K62" s="20"/>
      <c r="L62" s="20"/>
      <c r="M62" s="20"/>
      <c r="N62" s="20"/>
      <c r="O62" s="20"/>
      <c r="P62" s="20"/>
      <c r="Q62" s="20"/>
      <c r="R62" s="31">
        <f>+Ingresos!S57</f>
        <v>0</v>
      </c>
      <c r="S62" s="20"/>
      <c r="T62" s="20"/>
      <c r="U62" s="32">
        <f>SUM(I62:T62)</f>
        <v>0</v>
      </c>
      <c r="V62" s="32">
        <f t="shared" si="4"/>
        <v>0</v>
      </c>
      <c r="W62" s="47">
        <v>0</v>
      </c>
      <c r="X62" s="56"/>
    </row>
    <row r="63" spans="1:24" ht="12.75">
      <c r="A63" s="49"/>
      <c r="B63" s="23"/>
      <c r="C63" s="24"/>
      <c r="D63" s="24"/>
      <c r="E63" s="21"/>
      <c r="F63" s="22"/>
      <c r="G63" s="27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47"/>
      <c r="X63" s="56"/>
    </row>
    <row r="64" spans="1:24" ht="12.75">
      <c r="A64" s="49"/>
      <c r="B64" s="168" t="s">
        <v>76</v>
      </c>
      <c r="C64" s="169"/>
      <c r="D64" s="169"/>
      <c r="E64" s="170"/>
      <c r="F64" s="171"/>
      <c r="G64" s="172" t="s">
        <v>80</v>
      </c>
      <c r="H64" s="174">
        <f aca="true" t="shared" si="25" ref="H64:M64">SUM(H65+H66+H67+H68+H69)</f>
        <v>66694000</v>
      </c>
      <c r="I64" s="174">
        <f t="shared" si="25"/>
        <v>19510365</v>
      </c>
      <c r="J64" s="174">
        <f t="shared" si="25"/>
        <v>4070229</v>
      </c>
      <c r="K64" s="174">
        <f t="shared" si="25"/>
        <v>9276702</v>
      </c>
      <c r="L64" s="174">
        <f t="shared" si="25"/>
        <v>6038874</v>
      </c>
      <c r="M64" s="174">
        <f t="shared" si="25"/>
        <v>2636344</v>
      </c>
      <c r="N64" s="174">
        <f aca="true" t="shared" si="26" ref="N64:T64">SUM(N65+N66+N67+N68+N69)</f>
        <v>7052600</v>
      </c>
      <c r="O64" s="174">
        <f t="shared" si="26"/>
        <v>3315188</v>
      </c>
      <c r="P64" s="174">
        <f t="shared" si="26"/>
        <v>2591019</v>
      </c>
      <c r="Q64" s="174">
        <f t="shared" si="26"/>
        <v>3267616</v>
      </c>
      <c r="R64" s="174">
        <f t="shared" si="26"/>
        <v>0</v>
      </c>
      <c r="S64" s="174">
        <f t="shared" si="26"/>
        <v>0</v>
      </c>
      <c r="T64" s="174">
        <f t="shared" si="26"/>
        <v>0</v>
      </c>
      <c r="U64" s="174">
        <f>SUM(U65+U66+U67+U68+U69)</f>
        <v>57758937</v>
      </c>
      <c r="V64" s="174">
        <f t="shared" si="4"/>
        <v>8935063</v>
      </c>
      <c r="W64" s="175">
        <f t="shared" si="11"/>
        <v>0.8660289831169221</v>
      </c>
      <c r="X64" s="56"/>
    </row>
    <row r="65" spans="1:24" ht="12.75">
      <c r="A65" s="49"/>
      <c r="B65" s="23" t="s">
        <v>76</v>
      </c>
      <c r="C65" s="24" t="s">
        <v>12</v>
      </c>
      <c r="D65" s="24"/>
      <c r="E65" s="21"/>
      <c r="F65" s="22"/>
      <c r="G65" s="27" t="s">
        <v>81</v>
      </c>
      <c r="H65" s="31">
        <f>+Ingresos!I61</f>
        <v>62275000</v>
      </c>
      <c r="I65" s="31">
        <f>+Ingresos!J61</f>
        <v>19510365</v>
      </c>
      <c r="J65" s="31">
        <f>+Ingresos!K61</f>
        <v>4070229</v>
      </c>
      <c r="K65" s="31">
        <f>+Ingresos!L61</f>
        <v>4858328</v>
      </c>
      <c r="L65" s="31">
        <f>+Ingresos!M61</f>
        <v>6038874</v>
      </c>
      <c r="M65" s="31">
        <f>+Ingresos!N61</f>
        <v>2636344</v>
      </c>
      <c r="N65" s="31">
        <f>+Ingresos!O61</f>
        <v>7052600</v>
      </c>
      <c r="O65" s="31">
        <f>+Ingresos!P61</f>
        <v>3315188</v>
      </c>
      <c r="P65" s="31">
        <f>+Ingresos!Q61</f>
        <v>2591019</v>
      </c>
      <c r="Q65" s="31">
        <f>+Ingresos!R61</f>
        <v>3267616</v>
      </c>
      <c r="R65" s="31">
        <f>+Ingresos!S61</f>
        <v>0</v>
      </c>
      <c r="S65" s="31">
        <f>+Ingresos!T61</f>
        <v>0</v>
      </c>
      <c r="T65" s="31">
        <f>+Ingresos!U61</f>
        <v>0</v>
      </c>
      <c r="U65" s="32">
        <f>SUM(I65:T65)</f>
        <v>53340563</v>
      </c>
      <c r="V65" s="32">
        <f t="shared" si="4"/>
        <v>8934437</v>
      </c>
      <c r="W65" s="47">
        <f t="shared" si="11"/>
        <v>0.8565325250903252</v>
      </c>
      <c r="X65" s="56"/>
    </row>
    <row r="66" spans="1:24" ht="12.75" customHeight="1" hidden="1">
      <c r="A66" s="49"/>
      <c r="B66" s="23" t="s">
        <v>76</v>
      </c>
      <c r="C66" s="24" t="s">
        <v>35</v>
      </c>
      <c r="D66" s="24"/>
      <c r="E66" s="21"/>
      <c r="F66" s="22"/>
      <c r="G66" s="27" t="s">
        <v>82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2">
        <f t="shared" si="4"/>
        <v>0</v>
      </c>
      <c r="W66" s="48" t="e">
        <f t="shared" si="11"/>
        <v>#DIV/0!</v>
      </c>
      <c r="X66" s="56"/>
    </row>
    <row r="67" spans="1:24" ht="12.75" customHeight="1">
      <c r="A67" s="49"/>
      <c r="B67" s="23" t="s">
        <v>76</v>
      </c>
      <c r="C67" s="24" t="s">
        <v>10</v>
      </c>
      <c r="D67" s="24"/>
      <c r="E67" s="21"/>
      <c r="F67" s="22"/>
      <c r="G67" s="27" t="s">
        <v>83</v>
      </c>
      <c r="H67" s="31">
        <f>+Ingresos!I62</f>
        <v>4419000</v>
      </c>
      <c r="I67" s="31">
        <f>+Ingresos!J62</f>
        <v>0</v>
      </c>
      <c r="J67" s="31">
        <f>+Ingresos!K62</f>
        <v>0</v>
      </c>
      <c r="K67" s="31">
        <f>+Ingresos!L62</f>
        <v>4418374</v>
      </c>
      <c r="L67" s="31">
        <f>+Ingresos!M62</f>
        <v>0</v>
      </c>
      <c r="M67" s="31">
        <f>+Ingresos!N62</f>
        <v>0</v>
      </c>
      <c r="N67" s="31">
        <f>+Ingresos!O62</f>
        <v>0</v>
      </c>
      <c r="O67" s="31">
        <f>+Ingresos!P62</f>
        <v>0</v>
      </c>
      <c r="P67" s="31">
        <f>+Ingresos!Q62</f>
        <v>0</v>
      </c>
      <c r="Q67" s="31">
        <f>+Ingresos!R62</f>
        <v>0</v>
      </c>
      <c r="R67" s="31">
        <f>+Ingresos!S62</f>
        <v>0</v>
      </c>
      <c r="S67" s="31">
        <f>+Ingresos!T62</f>
        <v>0</v>
      </c>
      <c r="T67" s="31">
        <f>+Ingresos!U62</f>
        <v>0</v>
      </c>
      <c r="U67" s="31">
        <f>+Ingresos!V62</f>
        <v>4418374</v>
      </c>
      <c r="V67" s="32">
        <f t="shared" si="4"/>
        <v>626</v>
      </c>
      <c r="W67" s="48">
        <f t="shared" si="11"/>
        <v>0.9998583389907219</v>
      </c>
      <c r="X67" s="56"/>
    </row>
    <row r="68" spans="1:24" ht="12.75" customHeight="1" hidden="1">
      <c r="A68" s="49"/>
      <c r="B68" s="23" t="s">
        <v>76</v>
      </c>
      <c r="C68" s="24" t="s">
        <v>73</v>
      </c>
      <c r="D68" s="24"/>
      <c r="E68" s="21"/>
      <c r="F68" s="22"/>
      <c r="G68" s="27" t="s">
        <v>84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2">
        <f t="shared" si="4"/>
        <v>0</v>
      </c>
      <c r="W68" s="48" t="e">
        <f t="shared" si="11"/>
        <v>#DIV/0!</v>
      </c>
      <c r="X68" s="56"/>
    </row>
    <row r="69" spans="1:24" ht="12.75" customHeight="1" hidden="1">
      <c r="A69" s="49"/>
      <c r="B69" s="23" t="s">
        <v>76</v>
      </c>
      <c r="C69" s="24" t="s">
        <v>40</v>
      </c>
      <c r="D69" s="24"/>
      <c r="E69" s="21"/>
      <c r="F69" s="22"/>
      <c r="G69" s="27" t="s">
        <v>85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2">
        <f t="shared" si="4"/>
        <v>0</v>
      </c>
      <c r="W69" s="48" t="e">
        <f t="shared" si="11"/>
        <v>#DIV/0!</v>
      </c>
      <c r="X69" s="56"/>
    </row>
    <row r="70" spans="1:24" ht="12.75">
      <c r="A70" s="49"/>
      <c r="B70" s="23"/>
      <c r="C70" s="24"/>
      <c r="D70" s="24"/>
      <c r="E70" s="21"/>
      <c r="F70" s="22"/>
      <c r="G70" s="27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47"/>
      <c r="X70" s="56"/>
    </row>
    <row r="71" spans="1:24" ht="12.75">
      <c r="A71" s="49"/>
      <c r="B71" s="168" t="s">
        <v>78</v>
      </c>
      <c r="C71" s="169"/>
      <c r="D71" s="169"/>
      <c r="E71" s="170"/>
      <c r="F71" s="171"/>
      <c r="G71" s="172" t="s">
        <v>86</v>
      </c>
      <c r="H71" s="174">
        <f aca="true" t="shared" si="27" ref="H71:M71">SUM(H72+H73)</f>
        <v>60068000</v>
      </c>
      <c r="I71" s="174">
        <f t="shared" si="27"/>
        <v>21909000</v>
      </c>
      <c r="J71" s="174">
        <f t="shared" si="27"/>
        <v>9550500</v>
      </c>
      <c r="K71" s="174">
        <f t="shared" si="27"/>
        <v>1042500</v>
      </c>
      <c r="L71" s="174">
        <f t="shared" si="27"/>
        <v>1057000</v>
      </c>
      <c r="M71" s="174">
        <f t="shared" si="27"/>
        <v>1174100</v>
      </c>
      <c r="N71" s="174">
        <f aca="true" t="shared" si="28" ref="N71:T71">SUM(N72+N73)</f>
        <v>1763000</v>
      </c>
      <c r="O71" s="174">
        <f t="shared" si="28"/>
        <v>924500</v>
      </c>
      <c r="P71" s="174">
        <f t="shared" si="28"/>
        <v>585000</v>
      </c>
      <c r="Q71" s="174">
        <f t="shared" si="28"/>
        <v>1743500</v>
      </c>
      <c r="R71" s="174">
        <f t="shared" si="28"/>
        <v>0</v>
      </c>
      <c r="S71" s="174">
        <f t="shared" si="28"/>
        <v>0</v>
      </c>
      <c r="T71" s="174">
        <f t="shared" si="28"/>
        <v>0</v>
      </c>
      <c r="U71" s="174">
        <f>SUM(U72+U73)</f>
        <v>39749100</v>
      </c>
      <c r="V71" s="174">
        <f t="shared" si="4"/>
        <v>20318900</v>
      </c>
      <c r="W71" s="175">
        <f t="shared" si="11"/>
        <v>0.6617350336285543</v>
      </c>
      <c r="X71" s="56"/>
    </row>
    <row r="72" spans="1:24" ht="12.75">
      <c r="A72" s="49"/>
      <c r="B72" s="23" t="s">
        <v>78</v>
      </c>
      <c r="C72" s="24" t="s">
        <v>12</v>
      </c>
      <c r="D72" s="24"/>
      <c r="E72" s="21"/>
      <c r="F72" s="22"/>
      <c r="G72" s="27" t="s">
        <v>87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2">
        <f>SUM(I72:T72)</f>
        <v>0</v>
      </c>
      <c r="V72" s="32">
        <f t="shared" si="4"/>
        <v>0</v>
      </c>
      <c r="W72" s="47"/>
      <c r="X72" s="56"/>
    </row>
    <row r="73" spans="1:24" ht="12.75">
      <c r="A73" s="49"/>
      <c r="B73" s="23" t="s">
        <v>78</v>
      </c>
      <c r="C73" s="24" t="s">
        <v>35</v>
      </c>
      <c r="D73" s="24"/>
      <c r="E73" s="21"/>
      <c r="F73" s="22"/>
      <c r="G73" s="27" t="s">
        <v>88</v>
      </c>
      <c r="H73" s="31">
        <f>+Ingresos!I66</f>
        <v>60068000</v>
      </c>
      <c r="I73" s="31">
        <f>+Ingresos!J66</f>
        <v>21909000</v>
      </c>
      <c r="J73" s="31">
        <f>+Ingresos!K66</f>
        <v>9550500</v>
      </c>
      <c r="K73" s="31">
        <f>+Ingresos!L66</f>
        <v>1042500</v>
      </c>
      <c r="L73" s="31">
        <f>+Ingresos!M66</f>
        <v>1057000</v>
      </c>
      <c r="M73" s="31">
        <f>+Ingresos!N66</f>
        <v>1174100</v>
      </c>
      <c r="N73" s="31">
        <f>+Ingresos!O66</f>
        <v>1763000</v>
      </c>
      <c r="O73" s="31">
        <f>+Ingresos!P66</f>
        <v>924500</v>
      </c>
      <c r="P73" s="31">
        <f>+Ingresos!Q66</f>
        <v>585000</v>
      </c>
      <c r="Q73" s="31">
        <f>+Ingresos!R66</f>
        <v>1743500</v>
      </c>
      <c r="R73" s="31">
        <f>+Ingresos!S66</f>
        <v>0</v>
      </c>
      <c r="S73" s="31">
        <f>+Ingresos!T66</f>
        <v>0</v>
      </c>
      <c r="T73" s="31">
        <f>+Ingresos!U66</f>
        <v>0</v>
      </c>
      <c r="U73" s="32">
        <f>SUM(I73:T73)</f>
        <v>39749100</v>
      </c>
      <c r="V73" s="32">
        <f t="shared" si="4"/>
        <v>20318900</v>
      </c>
      <c r="W73" s="47">
        <f t="shared" si="11"/>
        <v>0.6617350336285543</v>
      </c>
      <c r="X73" s="56"/>
    </row>
    <row r="74" spans="1:24" ht="12.75">
      <c r="A74" s="49"/>
      <c r="B74" s="28"/>
      <c r="C74" s="29"/>
      <c r="D74" s="29"/>
      <c r="E74" s="21"/>
      <c r="F74" s="22"/>
      <c r="G74" s="3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47"/>
      <c r="X74" s="56"/>
    </row>
    <row r="75" spans="1:24" ht="12.75">
      <c r="A75" s="49"/>
      <c r="B75" s="168" t="s">
        <v>89</v>
      </c>
      <c r="C75" s="169"/>
      <c r="D75" s="169"/>
      <c r="E75" s="170"/>
      <c r="F75" s="171"/>
      <c r="G75" s="172" t="s">
        <v>90</v>
      </c>
      <c r="H75" s="174">
        <f aca="true" t="shared" si="29" ref="H75:M75">SUM(H76+H79+H88+H92+H95)</f>
        <v>10756341000</v>
      </c>
      <c r="I75" s="174">
        <f t="shared" si="29"/>
        <v>753565880</v>
      </c>
      <c r="J75" s="174">
        <f t="shared" si="29"/>
        <v>517984304</v>
      </c>
      <c r="K75" s="174">
        <f t="shared" si="29"/>
        <v>911283704</v>
      </c>
      <c r="L75" s="174">
        <f t="shared" si="29"/>
        <v>605632516</v>
      </c>
      <c r="M75" s="174">
        <f t="shared" si="29"/>
        <v>1862627545</v>
      </c>
      <c r="N75" s="174">
        <f aca="true" t="shared" si="30" ref="N75:T75">SUM(N76+N79+N88+N92+N95)</f>
        <v>733089677</v>
      </c>
      <c r="O75" s="174">
        <f t="shared" si="30"/>
        <v>987907239</v>
      </c>
      <c r="P75" s="174">
        <f t="shared" si="30"/>
        <v>539639452</v>
      </c>
      <c r="Q75" s="174">
        <f t="shared" si="30"/>
        <v>883083387</v>
      </c>
      <c r="R75" s="174">
        <f t="shared" si="30"/>
        <v>0</v>
      </c>
      <c r="S75" s="174">
        <f t="shared" si="30"/>
        <v>0</v>
      </c>
      <c r="T75" s="174">
        <f t="shared" si="30"/>
        <v>0</v>
      </c>
      <c r="U75" s="174">
        <f>SUM(U76+U79+U88+U92+U95)</f>
        <v>7794813704</v>
      </c>
      <c r="V75" s="174">
        <f t="shared" si="4"/>
        <v>2961527296</v>
      </c>
      <c r="W75" s="175">
        <f t="shared" si="11"/>
        <v>0.7246714941447097</v>
      </c>
      <c r="X75" s="56"/>
    </row>
    <row r="76" spans="1:24" ht="22.5">
      <c r="A76" s="49"/>
      <c r="B76" s="23" t="s">
        <v>89</v>
      </c>
      <c r="C76" s="24" t="s">
        <v>12</v>
      </c>
      <c r="D76" s="24"/>
      <c r="E76" s="21"/>
      <c r="F76" s="22"/>
      <c r="G76" s="61" t="s">
        <v>91</v>
      </c>
      <c r="H76" s="32">
        <f>+Ingresos!I69</f>
        <v>160000000</v>
      </c>
      <c r="I76" s="32">
        <f>+Ingresos!J69</f>
        <v>11547508</v>
      </c>
      <c r="J76" s="32">
        <f>+Ingresos!K69</f>
        <v>13113139</v>
      </c>
      <c r="K76" s="32">
        <f>+Ingresos!L69</f>
        <v>12268835</v>
      </c>
      <c r="L76" s="32">
        <f>+Ingresos!M69</f>
        <v>13159553</v>
      </c>
      <c r="M76" s="32">
        <f>+Ingresos!N69</f>
        <v>22092345</v>
      </c>
      <c r="N76" s="32">
        <f>+Ingresos!O69</f>
        <v>13441378</v>
      </c>
      <c r="O76" s="32">
        <f>+Ingresos!P69</f>
        <v>14922093</v>
      </c>
      <c r="P76" s="32">
        <f>+Ingresos!Q69</f>
        <v>8251273</v>
      </c>
      <c r="Q76" s="32">
        <f>+Ingresos!R69</f>
        <v>7719381</v>
      </c>
      <c r="R76" s="32">
        <f>+Ingresos!S69</f>
        <v>0</v>
      </c>
      <c r="S76" s="32">
        <f>+Ingresos!T69</f>
        <v>0</v>
      </c>
      <c r="T76" s="32">
        <f>+Ingresos!U69</f>
        <v>0</v>
      </c>
      <c r="U76" s="32">
        <f aca="true" t="shared" si="31" ref="U76:U95">SUM(I76:T76)</f>
        <v>116515505</v>
      </c>
      <c r="V76" s="32">
        <f aca="true" t="shared" si="32" ref="V76:V138">H76-U76</f>
        <v>43484495</v>
      </c>
      <c r="W76" s="47">
        <f t="shared" si="11"/>
        <v>0.72822190625</v>
      </c>
      <c r="X76" s="56"/>
    </row>
    <row r="77" spans="1:24" ht="12.75" customHeight="1" hidden="1">
      <c r="A77" s="49"/>
      <c r="B77" s="23" t="s">
        <v>89</v>
      </c>
      <c r="C77" s="24" t="s">
        <v>12</v>
      </c>
      <c r="D77" s="24" t="s">
        <v>14</v>
      </c>
      <c r="E77" s="25"/>
      <c r="F77" s="26"/>
      <c r="G77" s="27" t="s">
        <v>92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32">
        <f t="shared" si="31"/>
        <v>0</v>
      </c>
      <c r="V77" s="19">
        <f t="shared" si="32"/>
        <v>0</v>
      </c>
      <c r="W77" s="48" t="e">
        <f t="shared" si="11"/>
        <v>#DIV/0!</v>
      </c>
      <c r="X77" s="56"/>
    </row>
    <row r="78" spans="1:24" ht="12.75" customHeight="1" hidden="1">
      <c r="A78" s="49"/>
      <c r="B78" s="23" t="s">
        <v>89</v>
      </c>
      <c r="C78" s="24" t="s">
        <v>12</v>
      </c>
      <c r="D78" s="24" t="s">
        <v>17</v>
      </c>
      <c r="E78" s="25"/>
      <c r="F78" s="26"/>
      <c r="G78" s="27" t="s">
        <v>93</v>
      </c>
      <c r="H78" s="20"/>
      <c r="I78" s="20">
        <v>9432</v>
      </c>
      <c r="J78" s="20">
        <v>9432</v>
      </c>
      <c r="K78" s="20">
        <v>9432</v>
      </c>
      <c r="L78" s="20">
        <v>9432</v>
      </c>
      <c r="M78" s="20">
        <v>9432</v>
      </c>
      <c r="N78" s="20">
        <v>9432</v>
      </c>
      <c r="O78" s="20">
        <v>9432</v>
      </c>
      <c r="P78" s="20">
        <v>9432</v>
      </c>
      <c r="Q78" s="20">
        <v>9432</v>
      </c>
      <c r="R78" s="20">
        <v>9432</v>
      </c>
      <c r="S78" s="20">
        <v>9432</v>
      </c>
      <c r="T78" s="20">
        <v>9432</v>
      </c>
      <c r="U78" s="32">
        <f t="shared" si="31"/>
        <v>113184</v>
      </c>
      <c r="V78" s="19">
        <f t="shared" si="32"/>
        <v>-113184</v>
      </c>
      <c r="W78" s="48" t="e">
        <f t="shared" si="11"/>
        <v>#DIV/0!</v>
      </c>
      <c r="X78" s="56"/>
    </row>
    <row r="79" spans="1:24" ht="12.75">
      <c r="A79" s="49"/>
      <c r="B79" s="23" t="s">
        <v>89</v>
      </c>
      <c r="C79" s="24" t="s">
        <v>35</v>
      </c>
      <c r="D79" s="24"/>
      <c r="E79" s="21"/>
      <c r="F79" s="22"/>
      <c r="G79" s="27" t="s">
        <v>94</v>
      </c>
      <c r="H79" s="32">
        <f>+Ingresos!I72</f>
        <v>1440811000</v>
      </c>
      <c r="I79" s="32">
        <f>+Ingresos!J72</f>
        <v>94137163</v>
      </c>
      <c r="J79" s="32">
        <f>+Ingresos!K72</f>
        <v>83430076</v>
      </c>
      <c r="K79" s="32">
        <f>+Ingresos!L72</f>
        <v>308779225</v>
      </c>
      <c r="L79" s="32">
        <f>+Ingresos!M72</f>
        <v>156920456</v>
      </c>
      <c r="M79" s="32">
        <f>+Ingresos!N72</f>
        <v>137110245</v>
      </c>
      <c r="N79" s="32">
        <f>+Ingresos!O72</f>
        <v>111529341</v>
      </c>
      <c r="O79" s="32">
        <f>+Ingresos!P72</f>
        <v>92912550</v>
      </c>
      <c r="P79" s="32">
        <f>+Ingresos!Q72</f>
        <v>83062826</v>
      </c>
      <c r="Q79" s="32">
        <f>+Ingresos!R72</f>
        <v>126211418</v>
      </c>
      <c r="R79" s="32">
        <f>+Ingresos!S72</f>
        <v>0</v>
      </c>
      <c r="S79" s="32">
        <f>+Ingresos!T72</f>
        <v>0</v>
      </c>
      <c r="T79" s="32">
        <f>+Ingresos!U72</f>
        <v>0</v>
      </c>
      <c r="U79" s="32">
        <f t="shared" si="31"/>
        <v>1194093300</v>
      </c>
      <c r="V79" s="32">
        <f t="shared" si="32"/>
        <v>246717700</v>
      </c>
      <c r="W79" s="47">
        <f t="shared" si="11"/>
        <v>0.8287647026570453</v>
      </c>
      <c r="X79" s="56"/>
    </row>
    <row r="80" spans="1:24" ht="12.75" customHeight="1" hidden="1">
      <c r="A80" s="49"/>
      <c r="B80" s="23" t="s">
        <v>89</v>
      </c>
      <c r="C80" s="24" t="s">
        <v>35</v>
      </c>
      <c r="D80" s="24" t="s">
        <v>14</v>
      </c>
      <c r="E80" s="25"/>
      <c r="F80" s="26"/>
      <c r="G80" s="27" t="s">
        <v>95</v>
      </c>
      <c r="H80" s="20"/>
      <c r="I80" s="20">
        <v>23995</v>
      </c>
      <c r="J80" s="20">
        <v>23995</v>
      </c>
      <c r="K80" s="20">
        <v>23995</v>
      </c>
      <c r="L80" s="20">
        <v>23995</v>
      </c>
      <c r="M80" s="20">
        <v>23995</v>
      </c>
      <c r="N80" s="20">
        <v>23995</v>
      </c>
      <c r="O80" s="20">
        <v>23995</v>
      </c>
      <c r="P80" s="20">
        <v>23995</v>
      </c>
      <c r="Q80" s="20">
        <v>23995</v>
      </c>
      <c r="R80" s="20">
        <v>23995</v>
      </c>
      <c r="S80" s="20">
        <v>23995</v>
      </c>
      <c r="T80" s="20">
        <v>23995</v>
      </c>
      <c r="U80" s="32">
        <f t="shared" si="31"/>
        <v>287940</v>
      </c>
      <c r="V80" s="19">
        <f t="shared" si="32"/>
        <v>-287940</v>
      </c>
      <c r="W80" s="48" t="e">
        <f t="shared" si="11"/>
        <v>#DIV/0!</v>
      </c>
      <c r="X80" s="56"/>
    </row>
    <row r="81" spans="1:24" ht="12.75" customHeight="1" hidden="1">
      <c r="A81" s="49"/>
      <c r="B81" s="23" t="s">
        <v>89</v>
      </c>
      <c r="C81" s="24" t="s">
        <v>35</v>
      </c>
      <c r="D81" s="24" t="s">
        <v>17</v>
      </c>
      <c r="E81" s="25"/>
      <c r="F81" s="26"/>
      <c r="G81" s="27" t="s">
        <v>96</v>
      </c>
      <c r="H81" s="20"/>
      <c r="I81" s="20">
        <v>424</v>
      </c>
      <c r="J81" s="20">
        <v>424</v>
      </c>
      <c r="K81" s="20">
        <v>424</v>
      </c>
      <c r="L81" s="20">
        <v>424</v>
      </c>
      <c r="M81" s="20">
        <v>424</v>
      </c>
      <c r="N81" s="20">
        <v>424</v>
      </c>
      <c r="O81" s="20">
        <v>424</v>
      </c>
      <c r="P81" s="20">
        <v>424</v>
      </c>
      <c r="Q81" s="20">
        <v>424</v>
      </c>
      <c r="R81" s="20">
        <v>424</v>
      </c>
      <c r="S81" s="20">
        <v>424</v>
      </c>
      <c r="T81" s="20">
        <v>424</v>
      </c>
      <c r="U81" s="32">
        <f t="shared" si="31"/>
        <v>5088</v>
      </c>
      <c r="V81" s="19">
        <f t="shared" si="32"/>
        <v>-5088</v>
      </c>
      <c r="W81" s="48" t="e">
        <f t="shared" si="11"/>
        <v>#DIV/0!</v>
      </c>
      <c r="X81" s="56"/>
    </row>
    <row r="82" spans="1:24" ht="12.75" customHeight="1" hidden="1">
      <c r="A82" s="49"/>
      <c r="B82" s="23" t="s">
        <v>89</v>
      </c>
      <c r="C82" s="24" t="s">
        <v>35</v>
      </c>
      <c r="D82" s="24" t="s">
        <v>22</v>
      </c>
      <c r="E82" s="25"/>
      <c r="F82" s="26"/>
      <c r="G82" s="27" t="s">
        <v>97</v>
      </c>
      <c r="H82" s="20"/>
      <c r="I82" s="20">
        <v>1383</v>
      </c>
      <c r="J82" s="20">
        <v>1383</v>
      </c>
      <c r="K82" s="20">
        <v>1383</v>
      </c>
      <c r="L82" s="20">
        <v>1383</v>
      </c>
      <c r="M82" s="20">
        <v>1383</v>
      </c>
      <c r="N82" s="20">
        <v>1383</v>
      </c>
      <c r="O82" s="20">
        <v>1383</v>
      </c>
      <c r="P82" s="20">
        <v>1383</v>
      </c>
      <c r="Q82" s="20">
        <v>1383</v>
      </c>
      <c r="R82" s="20">
        <v>1383</v>
      </c>
      <c r="S82" s="20">
        <v>1383</v>
      </c>
      <c r="T82" s="20">
        <v>1383</v>
      </c>
      <c r="U82" s="32">
        <f t="shared" si="31"/>
        <v>16596</v>
      </c>
      <c r="V82" s="19">
        <f t="shared" si="32"/>
        <v>-16596</v>
      </c>
      <c r="W82" s="48" t="e">
        <f t="shared" si="11"/>
        <v>#DIV/0!</v>
      </c>
      <c r="X82" s="56"/>
    </row>
    <row r="83" spans="1:24" ht="12.75" customHeight="1" hidden="1">
      <c r="A83" s="49"/>
      <c r="B83" s="23" t="s">
        <v>89</v>
      </c>
      <c r="C83" s="24" t="s">
        <v>35</v>
      </c>
      <c r="D83" s="24" t="s">
        <v>28</v>
      </c>
      <c r="E83" s="25"/>
      <c r="F83" s="26"/>
      <c r="G83" s="27" t="s">
        <v>98</v>
      </c>
      <c r="H83" s="20"/>
      <c r="I83" s="20">
        <v>59</v>
      </c>
      <c r="J83" s="20">
        <v>59</v>
      </c>
      <c r="K83" s="20">
        <v>59</v>
      </c>
      <c r="L83" s="20">
        <v>59</v>
      </c>
      <c r="M83" s="20">
        <v>59</v>
      </c>
      <c r="N83" s="20">
        <v>59</v>
      </c>
      <c r="O83" s="20">
        <v>59</v>
      </c>
      <c r="P83" s="20">
        <v>59</v>
      </c>
      <c r="Q83" s="20">
        <v>59</v>
      </c>
      <c r="R83" s="20">
        <v>59</v>
      </c>
      <c r="S83" s="20">
        <v>59</v>
      </c>
      <c r="T83" s="20">
        <v>59</v>
      </c>
      <c r="U83" s="32">
        <f t="shared" si="31"/>
        <v>708</v>
      </c>
      <c r="V83" s="19">
        <f t="shared" si="32"/>
        <v>-708</v>
      </c>
      <c r="W83" s="48" t="e">
        <f t="shared" si="11"/>
        <v>#DIV/0!</v>
      </c>
      <c r="X83" s="56"/>
    </row>
    <row r="84" spans="1:24" ht="12.75" customHeight="1" hidden="1">
      <c r="A84" s="49"/>
      <c r="B84" s="23" t="s">
        <v>89</v>
      </c>
      <c r="C84" s="24" t="s">
        <v>35</v>
      </c>
      <c r="D84" s="24" t="s">
        <v>54</v>
      </c>
      <c r="E84" s="25"/>
      <c r="F84" s="26"/>
      <c r="G84" s="27" t="s">
        <v>99</v>
      </c>
      <c r="H84" s="20"/>
      <c r="I84" s="20">
        <v>754</v>
      </c>
      <c r="J84" s="20">
        <v>754</v>
      </c>
      <c r="K84" s="20">
        <v>754</v>
      </c>
      <c r="L84" s="20">
        <v>754</v>
      </c>
      <c r="M84" s="20">
        <v>754</v>
      </c>
      <c r="N84" s="20">
        <v>754</v>
      </c>
      <c r="O84" s="20">
        <v>754</v>
      </c>
      <c r="P84" s="20">
        <v>754</v>
      </c>
      <c r="Q84" s="20">
        <v>754</v>
      </c>
      <c r="R84" s="20">
        <v>754</v>
      </c>
      <c r="S84" s="20">
        <v>754</v>
      </c>
      <c r="T84" s="20">
        <v>754</v>
      </c>
      <c r="U84" s="32">
        <f t="shared" si="31"/>
        <v>9048</v>
      </c>
      <c r="V84" s="19">
        <f t="shared" si="32"/>
        <v>-9048</v>
      </c>
      <c r="W84" s="48" t="e">
        <f t="shared" si="11"/>
        <v>#DIV/0!</v>
      </c>
      <c r="X84" s="56"/>
    </row>
    <row r="85" spans="1:24" ht="12.75" customHeight="1" hidden="1">
      <c r="A85" s="49"/>
      <c r="B85" s="23" t="s">
        <v>89</v>
      </c>
      <c r="C85" s="24" t="s">
        <v>35</v>
      </c>
      <c r="D85" s="24" t="s">
        <v>57</v>
      </c>
      <c r="E85" s="25"/>
      <c r="F85" s="26"/>
      <c r="G85" s="27" t="s">
        <v>100</v>
      </c>
      <c r="H85" s="20"/>
      <c r="I85" s="20">
        <v>520</v>
      </c>
      <c r="J85" s="20">
        <v>520</v>
      </c>
      <c r="K85" s="20">
        <v>520</v>
      </c>
      <c r="L85" s="20">
        <v>520</v>
      </c>
      <c r="M85" s="20">
        <v>520</v>
      </c>
      <c r="N85" s="20">
        <v>520</v>
      </c>
      <c r="O85" s="20">
        <v>520</v>
      </c>
      <c r="P85" s="20">
        <v>520</v>
      </c>
      <c r="Q85" s="20">
        <v>520</v>
      </c>
      <c r="R85" s="20">
        <v>520</v>
      </c>
      <c r="S85" s="20">
        <v>520</v>
      </c>
      <c r="T85" s="20">
        <v>520</v>
      </c>
      <c r="U85" s="32">
        <f t="shared" si="31"/>
        <v>6240</v>
      </c>
      <c r="V85" s="19">
        <f t="shared" si="32"/>
        <v>-6240</v>
      </c>
      <c r="W85" s="48" t="e">
        <f t="shared" si="11"/>
        <v>#DIV/0!</v>
      </c>
      <c r="X85" s="56"/>
    </row>
    <row r="86" spans="1:24" ht="12.75" customHeight="1" hidden="1">
      <c r="A86" s="49"/>
      <c r="B86" s="23" t="s">
        <v>89</v>
      </c>
      <c r="C86" s="24" t="s">
        <v>35</v>
      </c>
      <c r="D86" s="24" t="s">
        <v>61</v>
      </c>
      <c r="E86" s="25"/>
      <c r="F86" s="26"/>
      <c r="G86" s="27" t="s">
        <v>101</v>
      </c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32">
        <f t="shared" si="31"/>
        <v>0</v>
      </c>
      <c r="V86" s="19">
        <f t="shared" si="32"/>
        <v>0</v>
      </c>
      <c r="W86" s="48" t="e">
        <f t="shared" si="11"/>
        <v>#DIV/0!</v>
      </c>
      <c r="X86" s="56"/>
    </row>
    <row r="87" spans="1:24" ht="12.75" customHeight="1" hidden="1">
      <c r="A87" s="49"/>
      <c r="B87" s="23" t="s">
        <v>89</v>
      </c>
      <c r="C87" s="24" t="s">
        <v>35</v>
      </c>
      <c r="D87" s="24" t="s">
        <v>65</v>
      </c>
      <c r="E87" s="25"/>
      <c r="F87" s="26"/>
      <c r="G87" s="27" t="s">
        <v>102</v>
      </c>
      <c r="H87" s="20"/>
      <c r="I87" s="20">
        <v>15061</v>
      </c>
      <c r="J87" s="20">
        <v>15061</v>
      </c>
      <c r="K87" s="20">
        <v>15061</v>
      </c>
      <c r="L87" s="20">
        <v>15061</v>
      </c>
      <c r="M87" s="20">
        <v>15061</v>
      </c>
      <c r="N87" s="20">
        <v>15061</v>
      </c>
      <c r="O87" s="20">
        <v>15061</v>
      </c>
      <c r="P87" s="20">
        <v>15061</v>
      </c>
      <c r="Q87" s="20">
        <v>15061</v>
      </c>
      <c r="R87" s="20">
        <v>15061</v>
      </c>
      <c r="S87" s="20">
        <v>15061</v>
      </c>
      <c r="T87" s="20">
        <v>15061</v>
      </c>
      <c r="U87" s="32">
        <f t="shared" si="31"/>
        <v>180732</v>
      </c>
      <c r="V87" s="19">
        <f t="shared" si="32"/>
        <v>-180732</v>
      </c>
      <c r="W87" s="48" t="e">
        <f t="shared" si="11"/>
        <v>#DIV/0!</v>
      </c>
      <c r="X87" s="56"/>
    </row>
    <row r="88" spans="1:24" ht="23.25" customHeight="1">
      <c r="A88" s="49"/>
      <c r="B88" s="23" t="s">
        <v>89</v>
      </c>
      <c r="C88" s="24" t="s">
        <v>10</v>
      </c>
      <c r="D88" s="24"/>
      <c r="E88" s="21"/>
      <c r="F88" s="22"/>
      <c r="G88" s="61" t="s">
        <v>103</v>
      </c>
      <c r="H88" s="32">
        <f>+Ingresos!I94</f>
        <v>8830624000</v>
      </c>
      <c r="I88" s="32">
        <f>+Ingresos!J94</f>
        <v>641500513</v>
      </c>
      <c r="J88" s="32">
        <f>+Ingresos!K94</f>
        <v>419489263</v>
      </c>
      <c r="K88" s="32">
        <f>+Ingresos!L94</f>
        <v>575030718</v>
      </c>
      <c r="L88" s="32">
        <f>+Ingresos!M94</f>
        <v>430061845</v>
      </c>
      <c r="M88" s="32">
        <f>+Ingresos!N94</f>
        <v>1687282191</v>
      </c>
      <c r="N88" s="32">
        <f>+Ingresos!O94</f>
        <v>601930759</v>
      </c>
      <c r="O88" s="32">
        <f>+Ingresos!P94</f>
        <v>876638402</v>
      </c>
      <c r="P88" s="32">
        <f>+Ingresos!Q94</f>
        <v>437202311</v>
      </c>
      <c r="Q88" s="32">
        <f>+Ingresos!R94</f>
        <v>708630014</v>
      </c>
      <c r="R88" s="32">
        <f>+Ingresos!S94</f>
        <v>0</v>
      </c>
      <c r="S88" s="32">
        <f>+Ingresos!T94</f>
        <v>0</v>
      </c>
      <c r="T88" s="32">
        <f>+Ingresos!U94</f>
        <v>0</v>
      </c>
      <c r="U88" s="32">
        <f t="shared" si="31"/>
        <v>6377766016</v>
      </c>
      <c r="V88" s="32">
        <f t="shared" si="32"/>
        <v>2452857984</v>
      </c>
      <c r="W88" s="47">
        <f t="shared" si="11"/>
        <v>0.7222327681486609</v>
      </c>
      <c r="X88" s="56"/>
    </row>
    <row r="89" spans="1:24" ht="12.75" customHeight="1" hidden="1">
      <c r="A89" s="49"/>
      <c r="B89" s="23" t="s">
        <v>89</v>
      </c>
      <c r="C89" s="24" t="s">
        <v>10</v>
      </c>
      <c r="D89" s="24" t="s">
        <v>14</v>
      </c>
      <c r="E89" s="25"/>
      <c r="F89" s="26"/>
      <c r="G89" s="27" t="s">
        <v>104</v>
      </c>
      <c r="H89" s="20"/>
      <c r="I89" s="20">
        <v>120065</v>
      </c>
      <c r="J89" s="20">
        <v>120065</v>
      </c>
      <c r="K89" s="20">
        <v>120065</v>
      </c>
      <c r="L89" s="20">
        <v>120065</v>
      </c>
      <c r="M89" s="20">
        <v>120065</v>
      </c>
      <c r="N89" s="20">
        <v>120065</v>
      </c>
      <c r="O89" s="20">
        <v>120065</v>
      </c>
      <c r="P89" s="20">
        <v>120065</v>
      </c>
      <c r="Q89" s="20">
        <v>120065</v>
      </c>
      <c r="R89" s="20">
        <v>120065</v>
      </c>
      <c r="S89" s="20">
        <v>120065</v>
      </c>
      <c r="T89" s="20">
        <v>120065</v>
      </c>
      <c r="U89" s="32">
        <f t="shared" si="31"/>
        <v>1440780</v>
      </c>
      <c r="V89" s="19">
        <f t="shared" si="32"/>
        <v>-1440780</v>
      </c>
      <c r="W89" s="48" t="e">
        <f t="shared" si="11"/>
        <v>#DIV/0!</v>
      </c>
      <c r="X89" s="56"/>
    </row>
    <row r="90" spans="1:24" ht="12.75" customHeight="1" hidden="1">
      <c r="A90" s="49"/>
      <c r="B90" s="23" t="s">
        <v>89</v>
      </c>
      <c r="C90" s="24" t="s">
        <v>10</v>
      </c>
      <c r="D90" s="24" t="s">
        <v>17</v>
      </c>
      <c r="E90" s="25"/>
      <c r="F90" s="26"/>
      <c r="G90" s="27" t="s">
        <v>105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32">
        <f t="shared" si="31"/>
        <v>0</v>
      </c>
      <c r="V90" s="19">
        <f t="shared" si="32"/>
        <v>0</v>
      </c>
      <c r="W90" s="48" t="e">
        <f t="shared" si="11"/>
        <v>#DIV/0!</v>
      </c>
      <c r="X90" s="56"/>
    </row>
    <row r="91" spans="1:24" ht="12.75" customHeight="1" hidden="1">
      <c r="A91" s="49"/>
      <c r="B91" s="23" t="s">
        <v>89</v>
      </c>
      <c r="C91" s="24" t="s">
        <v>10</v>
      </c>
      <c r="D91" s="24" t="s">
        <v>54</v>
      </c>
      <c r="E91" s="25"/>
      <c r="F91" s="26"/>
      <c r="G91" s="27" t="s">
        <v>106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32">
        <f t="shared" si="31"/>
        <v>0</v>
      </c>
      <c r="V91" s="19">
        <f t="shared" si="32"/>
        <v>0</v>
      </c>
      <c r="W91" s="48" t="e">
        <f aca="true" t="shared" si="33" ref="W91:W146">SUM(U91/H91)</f>
        <v>#DIV/0!</v>
      </c>
      <c r="X91" s="56"/>
    </row>
    <row r="92" spans="1:24" ht="12.75">
      <c r="A92" s="49"/>
      <c r="B92" s="23" t="s">
        <v>89</v>
      </c>
      <c r="C92" s="24" t="s">
        <v>73</v>
      </c>
      <c r="D92" s="24"/>
      <c r="E92" s="21"/>
      <c r="F92" s="22"/>
      <c r="G92" s="27" t="s">
        <v>107</v>
      </c>
      <c r="H92" s="32">
        <f>+Ingresos!I99</f>
        <v>25356000</v>
      </c>
      <c r="I92" s="32">
        <f>+Ingresos!J99</f>
        <v>498722</v>
      </c>
      <c r="J92" s="32">
        <f>+Ingresos!K99</f>
        <v>904272</v>
      </c>
      <c r="K92" s="32">
        <f>+Ingresos!L99</f>
        <v>12897425</v>
      </c>
      <c r="L92" s="32">
        <f>+Ingresos!M99</f>
        <v>4275069</v>
      </c>
      <c r="M92" s="32">
        <f>+Ingresos!N99</f>
        <v>1796712</v>
      </c>
      <c r="N92" s="32">
        <f>+Ingresos!O99</f>
        <v>1093280</v>
      </c>
      <c r="O92" s="32">
        <f>+Ingresos!P99</f>
        <v>583200</v>
      </c>
      <c r="P92" s="32">
        <f>+Ingresos!Q99</f>
        <v>537300</v>
      </c>
      <c r="Q92" s="32">
        <f>+Ingresos!R99</f>
        <v>1909541</v>
      </c>
      <c r="R92" s="32">
        <f>+Ingresos!S99</f>
        <v>0</v>
      </c>
      <c r="S92" s="32">
        <f>+Ingresos!T99</f>
        <v>0</v>
      </c>
      <c r="T92" s="32">
        <f>+Ingresos!U99</f>
        <v>0</v>
      </c>
      <c r="U92" s="32">
        <f t="shared" si="31"/>
        <v>24495521</v>
      </c>
      <c r="V92" s="32">
        <f t="shared" si="32"/>
        <v>860479</v>
      </c>
      <c r="W92" s="47">
        <f t="shared" si="33"/>
        <v>0.9660640873954882</v>
      </c>
      <c r="X92" s="56"/>
    </row>
    <row r="93" spans="1:24" ht="12.75" customHeight="1" hidden="1">
      <c r="A93" s="49"/>
      <c r="B93" s="24" t="s">
        <v>89</v>
      </c>
      <c r="C93" s="24" t="s">
        <v>73</v>
      </c>
      <c r="D93" s="24" t="s">
        <v>14</v>
      </c>
      <c r="E93" s="25"/>
      <c r="F93" s="26"/>
      <c r="G93" s="27" t="s">
        <v>108</v>
      </c>
      <c r="H93" s="20"/>
      <c r="I93" s="20">
        <v>136</v>
      </c>
      <c r="J93" s="20">
        <v>136</v>
      </c>
      <c r="K93" s="20">
        <v>136</v>
      </c>
      <c r="L93" s="20">
        <v>136</v>
      </c>
      <c r="M93" s="20">
        <v>136</v>
      </c>
      <c r="N93" s="20">
        <v>136</v>
      </c>
      <c r="O93" s="20">
        <v>136</v>
      </c>
      <c r="P93" s="20">
        <v>136</v>
      </c>
      <c r="Q93" s="20">
        <v>136</v>
      </c>
      <c r="R93" s="20">
        <v>136</v>
      </c>
      <c r="S93" s="20">
        <v>136</v>
      </c>
      <c r="T93" s="20">
        <v>136</v>
      </c>
      <c r="U93" s="32">
        <f t="shared" si="31"/>
        <v>1632</v>
      </c>
      <c r="V93" s="19">
        <f t="shared" si="32"/>
        <v>-1632</v>
      </c>
      <c r="W93" s="48" t="e">
        <f t="shared" si="33"/>
        <v>#DIV/0!</v>
      </c>
      <c r="X93" s="56"/>
    </row>
    <row r="94" spans="1:24" ht="12.75" customHeight="1" hidden="1">
      <c r="A94" s="49"/>
      <c r="B94" s="24" t="s">
        <v>89</v>
      </c>
      <c r="C94" s="24" t="s">
        <v>73</v>
      </c>
      <c r="D94" s="24" t="s">
        <v>30</v>
      </c>
      <c r="E94" s="25"/>
      <c r="F94" s="26"/>
      <c r="G94" s="27" t="s">
        <v>109</v>
      </c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32">
        <f t="shared" si="31"/>
        <v>0</v>
      </c>
      <c r="V94" s="19">
        <f t="shared" si="32"/>
        <v>0</v>
      </c>
      <c r="W94" s="48" t="e">
        <f t="shared" si="33"/>
        <v>#DIV/0!</v>
      </c>
      <c r="X94" s="56"/>
    </row>
    <row r="95" spans="1:24" ht="12.75">
      <c r="A95" s="49"/>
      <c r="B95" s="23" t="s">
        <v>89</v>
      </c>
      <c r="C95" s="24" t="s">
        <v>40</v>
      </c>
      <c r="D95" s="24"/>
      <c r="E95" s="21"/>
      <c r="F95" s="22"/>
      <c r="G95" s="27" t="s">
        <v>110</v>
      </c>
      <c r="H95" s="32">
        <f>+Ingresos!I102</f>
        <v>299550000</v>
      </c>
      <c r="I95" s="32">
        <f>+Ingresos!J102</f>
        <v>5881974</v>
      </c>
      <c r="J95" s="32">
        <f>+Ingresos!K102</f>
        <v>1047554</v>
      </c>
      <c r="K95" s="32">
        <f>+Ingresos!L102</f>
        <v>2307501</v>
      </c>
      <c r="L95" s="32">
        <f>+Ingresos!M102</f>
        <v>1215593</v>
      </c>
      <c r="M95" s="32">
        <f>+Ingresos!N102</f>
        <v>14346052</v>
      </c>
      <c r="N95" s="32">
        <f>+Ingresos!O102</f>
        <v>5094919</v>
      </c>
      <c r="O95" s="32">
        <f>+Ingresos!P102</f>
        <v>2850994</v>
      </c>
      <c r="P95" s="32">
        <f>+Ingresos!Q102</f>
        <v>10585742</v>
      </c>
      <c r="Q95" s="32">
        <f>+Ingresos!R102</f>
        <v>38613033</v>
      </c>
      <c r="R95" s="32">
        <f>+Ingresos!S102</f>
        <v>0</v>
      </c>
      <c r="S95" s="32">
        <f>+Ingresos!T102</f>
        <v>0</v>
      </c>
      <c r="T95" s="32">
        <f>+Ingresos!U102</f>
        <v>0</v>
      </c>
      <c r="U95" s="32">
        <f t="shared" si="31"/>
        <v>81943362</v>
      </c>
      <c r="V95" s="32">
        <f t="shared" si="32"/>
        <v>217606638</v>
      </c>
      <c r="W95" s="47">
        <f t="shared" si="33"/>
        <v>0.2735548723084627</v>
      </c>
      <c r="X95" s="56"/>
    </row>
    <row r="96" spans="1:24" ht="12.75" customHeight="1" hidden="1">
      <c r="A96" s="49"/>
      <c r="B96" s="23" t="s">
        <v>89</v>
      </c>
      <c r="C96" s="24" t="s">
        <v>40</v>
      </c>
      <c r="D96" s="24" t="s">
        <v>14</v>
      </c>
      <c r="E96" s="25"/>
      <c r="F96" s="26"/>
      <c r="G96" s="27" t="s">
        <v>111</v>
      </c>
      <c r="H96" s="20"/>
      <c r="I96" s="20">
        <v>230</v>
      </c>
      <c r="J96" s="20">
        <v>230</v>
      </c>
      <c r="K96" s="20">
        <v>230</v>
      </c>
      <c r="L96" s="20">
        <v>230</v>
      </c>
      <c r="M96" s="20">
        <v>230</v>
      </c>
      <c r="N96" s="20">
        <v>230</v>
      </c>
      <c r="O96" s="20">
        <v>230</v>
      </c>
      <c r="P96" s="20">
        <v>230</v>
      </c>
      <c r="Q96" s="20">
        <v>230</v>
      </c>
      <c r="R96" s="20">
        <v>230</v>
      </c>
      <c r="S96" s="20">
        <v>230</v>
      </c>
      <c r="T96" s="20">
        <v>230</v>
      </c>
      <c r="U96" s="20"/>
      <c r="V96" s="19">
        <f t="shared" si="32"/>
        <v>0</v>
      </c>
      <c r="W96" s="48" t="e">
        <f t="shared" si="33"/>
        <v>#DIV/0!</v>
      </c>
      <c r="X96" s="56"/>
    </row>
    <row r="97" spans="1:24" ht="12.75" customHeight="1" hidden="1">
      <c r="A97" s="49"/>
      <c r="B97" s="23" t="s">
        <v>89</v>
      </c>
      <c r="C97" s="24" t="s">
        <v>40</v>
      </c>
      <c r="D97" s="24" t="s">
        <v>30</v>
      </c>
      <c r="E97" s="25"/>
      <c r="F97" s="26"/>
      <c r="G97" s="27" t="s">
        <v>31</v>
      </c>
      <c r="H97" s="20"/>
      <c r="I97" s="20">
        <v>16648</v>
      </c>
      <c r="J97" s="20">
        <v>16648</v>
      </c>
      <c r="K97" s="20">
        <v>16648</v>
      </c>
      <c r="L97" s="20">
        <v>16648</v>
      </c>
      <c r="M97" s="20">
        <v>16648</v>
      </c>
      <c r="N97" s="20">
        <v>16648</v>
      </c>
      <c r="O97" s="20">
        <v>16648</v>
      </c>
      <c r="P97" s="20">
        <v>16648</v>
      </c>
      <c r="Q97" s="20">
        <v>16648</v>
      </c>
      <c r="R97" s="20">
        <v>16648</v>
      </c>
      <c r="S97" s="20">
        <v>16648</v>
      </c>
      <c r="T97" s="20">
        <v>16648</v>
      </c>
      <c r="U97" s="20"/>
      <c r="V97" s="19">
        <f t="shared" si="32"/>
        <v>0</v>
      </c>
      <c r="W97" s="48" t="e">
        <f t="shared" si="33"/>
        <v>#DIV/0!</v>
      </c>
      <c r="X97" s="56"/>
    </row>
    <row r="98" spans="1:24" ht="12.75">
      <c r="A98" s="49"/>
      <c r="B98" s="28"/>
      <c r="C98" s="29"/>
      <c r="D98" s="29"/>
      <c r="E98" s="21"/>
      <c r="F98" s="22"/>
      <c r="G98" s="30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47"/>
      <c r="X98" s="56"/>
    </row>
    <row r="99" spans="1:24" ht="12.75">
      <c r="A99" s="49"/>
      <c r="B99" s="168" t="s">
        <v>112</v>
      </c>
      <c r="C99" s="169"/>
      <c r="D99" s="169"/>
      <c r="E99" s="170"/>
      <c r="F99" s="171"/>
      <c r="G99" s="172" t="s">
        <v>113</v>
      </c>
      <c r="H99" s="174">
        <f>+Ingresos!I106</f>
        <v>203574000</v>
      </c>
      <c r="I99" s="174">
        <f>+Ingresos!J106</f>
        <v>0</v>
      </c>
      <c r="J99" s="174">
        <f>+Ingresos!K106</f>
        <v>0</v>
      </c>
      <c r="K99" s="174">
        <f>+Ingresos!L106</f>
        <v>0</v>
      </c>
      <c r="L99" s="174">
        <f>+Ingresos!M106</f>
        <v>0</v>
      </c>
      <c r="M99" s="174">
        <f>+Ingresos!N106</f>
        <v>0</v>
      </c>
      <c r="N99" s="174">
        <f>+Ingresos!O106</f>
        <v>0</v>
      </c>
      <c r="O99" s="174">
        <f>+Ingresos!P106</f>
        <v>0</v>
      </c>
      <c r="P99" s="174">
        <f>+Ingresos!Q106</f>
        <v>0</v>
      </c>
      <c r="Q99" s="174">
        <f>+Ingresos!R106</f>
        <v>0</v>
      </c>
      <c r="R99" s="174">
        <f>+Ingresos!S106</f>
        <v>0</v>
      </c>
      <c r="S99" s="174">
        <f>+Ingresos!T106</f>
        <v>0</v>
      </c>
      <c r="T99" s="174">
        <f>+Ingresos!U106</f>
        <v>0</v>
      </c>
      <c r="U99" s="180">
        <f>SUM(I99:T99)</f>
        <v>0</v>
      </c>
      <c r="V99" s="174">
        <f t="shared" si="32"/>
        <v>203574000</v>
      </c>
      <c r="W99" s="175">
        <f t="shared" si="33"/>
        <v>0</v>
      </c>
      <c r="X99" s="56"/>
    </row>
    <row r="100" spans="1:24" ht="12.75" customHeight="1" hidden="1">
      <c r="A100" s="49"/>
      <c r="B100" s="23" t="s">
        <v>112</v>
      </c>
      <c r="C100" s="24" t="s">
        <v>12</v>
      </c>
      <c r="D100" s="24"/>
      <c r="E100" s="21"/>
      <c r="F100" s="22"/>
      <c r="G100" s="27" t="s">
        <v>114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2">
        <f t="shared" si="32"/>
        <v>0</v>
      </c>
      <c r="W100" s="48" t="e">
        <f t="shared" si="33"/>
        <v>#DIV/0!</v>
      </c>
      <c r="X100" s="56"/>
    </row>
    <row r="101" spans="1:24" ht="12.75" customHeight="1" hidden="1">
      <c r="A101" s="49"/>
      <c r="B101" s="23" t="s">
        <v>112</v>
      </c>
      <c r="C101" s="24" t="s">
        <v>35</v>
      </c>
      <c r="D101" s="24"/>
      <c r="E101" s="21"/>
      <c r="F101" s="22"/>
      <c r="G101" s="27" t="s">
        <v>115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2">
        <f t="shared" si="32"/>
        <v>0</v>
      </c>
      <c r="W101" s="48" t="e">
        <f t="shared" si="33"/>
        <v>#DIV/0!</v>
      </c>
      <c r="X101" s="56"/>
    </row>
    <row r="102" spans="1:24" ht="12.75" customHeight="1" hidden="1">
      <c r="A102" s="49"/>
      <c r="B102" s="23" t="s">
        <v>112</v>
      </c>
      <c r="C102" s="24" t="s">
        <v>10</v>
      </c>
      <c r="D102" s="24"/>
      <c r="E102" s="21"/>
      <c r="F102" s="22"/>
      <c r="G102" s="27" t="s">
        <v>116</v>
      </c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2">
        <f t="shared" si="32"/>
        <v>0</v>
      </c>
      <c r="W102" s="48" t="e">
        <f t="shared" si="33"/>
        <v>#DIV/0!</v>
      </c>
      <c r="X102" s="56"/>
    </row>
    <row r="103" spans="1:24" ht="12.75" customHeight="1" hidden="1">
      <c r="A103" s="49"/>
      <c r="B103" s="23" t="s">
        <v>112</v>
      </c>
      <c r="C103" s="24" t="s">
        <v>73</v>
      </c>
      <c r="D103" s="24"/>
      <c r="E103" s="21"/>
      <c r="F103" s="22"/>
      <c r="G103" s="27" t="s">
        <v>117</v>
      </c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2">
        <f t="shared" si="32"/>
        <v>0</v>
      </c>
      <c r="W103" s="48" t="e">
        <f t="shared" si="33"/>
        <v>#DIV/0!</v>
      </c>
      <c r="X103" s="56"/>
    </row>
    <row r="104" spans="1:24" ht="12.75" customHeight="1" hidden="1">
      <c r="A104" s="49"/>
      <c r="B104" s="23" t="s">
        <v>112</v>
      </c>
      <c r="C104" s="24" t="s">
        <v>42</v>
      </c>
      <c r="D104" s="24"/>
      <c r="E104" s="21"/>
      <c r="F104" s="22"/>
      <c r="G104" s="27" t="s">
        <v>118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2">
        <f t="shared" si="32"/>
        <v>0</v>
      </c>
      <c r="W104" s="48" t="e">
        <f t="shared" si="33"/>
        <v>#DIV/0!</v>
      </c>
      <c r="X104" s="56"/>
    </row>
    <row r="105" spans="1:24" ht="12.75" customHeight="1" hidden="1">
      <c r="A105" s="49"/>
      <c r="B105" s="23" t="s">
        <v>112</v>
      </c>
      <c r="C105" s="24" t="s">
        <v>76</v>
      </c>
      <c r="D105" s="24"/>
      <c r="E105" s="21"/>
      <c r="F105" s="22"/>
      <c r="G105" s="27" t="s">
        <v>119</v>
      </c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2">
        <f t="shared" si="32"/>
        <v>0</v>
      </c>
      <c r="W105" s="48" t="e">
        <f t="shared" si="33"/>
        <v>#DIV/0!</v>
      </c>
      <c r="X105" s="56"/>
    </row>
    <row r="106" spans="1:24" ht="12.75" customHeight="1" hidden="1">
      <c r="A106" s="49"/>
      <c r="B106" s="23" t="s">
        <v>112</v>
      </c>
      <c r="C106" s="24" t="s">
        <v>78</v>
      </c>
      <c r="D106" s="24"/>
      <c r="E106" s="21"/>
      <c r="F106" s="22"/>
      <c r="G106" s="27" t="s">
        <v>120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2">
        <f t="shared" si="32"/>
        <v>0</v>
      </c>
      <c r="W106" s="48" t="e">
        <f t="shared" si="33"/>
        <v>#DIV/0!</v>
      </c>
      <c r="X106" s="56"/>
    </row>
    <row r="107" spans="1:24" ht="12.75" customHeight="1" hidden="1">
      <c r="A107" s="49"/>
      <c r="B107" s="23" t="s">
        <v>112</v>
      </c>
      <c r="C107" s="24" t="s">
        <v>40</v>
      </c>
      <c r="D107" s="24"/>
      <c r="E107" s="21"/>
      <c r="F107" s="22"/>
      <c r="G107" s="27" t="s">
        <v>121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2">
        <f t="shared" si="32"/>
        <v>0</v>
      </c>
      <c r="W107" s="48" t="e">
        <f t="shared" si="33"/>
        <v>#DIV/0!</v>
      </c>
      <c r="X107" s="56"/>
    </row>
    <row r="108" spans="1:24" ht="12.75">
      <c r="A108" s="49"/>
      <c r="B108" s="23"/>
      <c r="C108" s="24"/>
      <c r="D108" s="24"/>
      <c r="E108" s="21"/>
      <c r="F108" s="22"/>
      <c r="G108" s="27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47"/>
      <c r="X108" s="56"/>
    </row>
    <row r="109" spans="1:24" ht="12.75" hidden="1">
      <c r="A109" s="49"/>
      <c r="B109" s="62" t="s">
        <v>122</v>
      </c>
      <c r="C109" s="57"/>
      <c r="D109" s="57"/>
      <c r="E109" s="58"/>
      <c r="F109" s="59"/>
      <c r="G109" s="63" t="s">
        <v>123</v>
      </c>
      <c r="H109" s="33">
        <f>+Ingresos!I116</f>
        <v>120000000</v>
      </c>
      <c r="I109" s="33">
        <f>+Ingresos!J116</f>
        <v>0</v>
      </c>
      <c r="J109" s="33">
        <f>+Ingresos!K116</f>
        <v>0</v>
      </c>
      <c r="K109" s="33">
        <f>+Ingresos!L116</f>
        <v>0</v>
      </c>
      <c r="L109" s="33">
        <f>+Ingresos!M116</f>
        <v>0</v>
      </c>
      <c r="M109" s="33">
        <f>+Ingresos!N116</f>
        <v>0</v>
      </c>
      <c r="N109" s="33">
        <f>+Ingresos!O116</f>
        <v>0</v>
      </c>
      <c r="O109" s="33">
        <f>+Ingresos!P116</f>
        <v>0</v>
      </c>
      <c r="P109" s="33">
        <f>SUM(P110+P115+P116)</f>
        <v>0</v>
      </c>
      <c r="Q109" s="33">
        <f>SUM(Q110+Q115+Q116)</f>
        <v>0</v>
      </c>
      <c r="R109" s="33">
        <f>SUM(R110+R115+R116)</f>
        <v>0</v>
      </c>
      <c r="S109" s="33">
        <f>SUM(S110+S115+S116)</f>
        <v>0</v>
      </c>
      <c r="T109" s="33">
        <f>SUM(T110+T115+T116)</f>
        <v>0</v>
      </c>
      <c r="U109" s="32">
        <f>SUM(I109:T109)</f>
        <v>0</v>
      </c>
      <c r="V109" s="33">
        <f t="shared" si="32"/>
        <v>120000000</v>
      </c>
      <c r="W109" s="47">
        <v>0</v>
      </c>
      <c r="X109" s="56"/>
    </row>
    <row r="110" spans="1:24" ht="12.75" customHeight="1" hidden="1">
      <c r="A110" s="49"/>
      <c r="B110" s="23" t="s">
        <v>122</v>
      </c>
      <c r="C110" s="24" t="s">
        <v>12</v>
      </c>
      <c r="D110" s="24"/>
      <c r="E110" s="21"/>
      <c r="F110" s="22"/>
      <c r="G110" s="27" t="s">
        <v>124</v>
      </c>
      <c r="H110" s="32">
        <f aca="true" t="shared" si="34" ref="H110:M110">SUM(H111+H112+H113+H114)</f>
        <v>0</v>
      </c>
      <c r="I110" s="32">
        <f t="shared" si="34"/>
        <v>0</v>
      </c>
      <c r="J110" s="32">
        <f t="shared" si="34"/>
        <v>0</v>
      </c>
      <c r="K110" s="32">
        <f t="shared" si="34"/>
        <v>0</v>
      </c>
      <c r="L110" s="32">
        <f t="shared" si="34"/>
        <v>0</v>
      </c>
      <c r="M110" s="32">
        <f t="shared" si="34"/>
        <v>0</v>
      </c>
      <c r="N110" s="32">
        <f aca="true" t="shared" si="35" ref="N110:T110">SUM(N111+N112+N113+N114)</f>
        <v>0</v>
      </c>
      <c r="O110" s="32">
        <f t="shared" si="35"/>
        <v>0</v>
      </c>
      <c r="P110" s="32">
        <f t="shared" si="35"/>
        <v>0</v>
      </c>
      <c r="Q110" s="32">
        <f t="shared" si="35"/>
        <v>0</v>
      </c>
      <c r="R110" s="32">
        <f t="shared" si="35"/>
        <v>0</v>
      </c>
      <c r="S110" s="32">
        <f t="shared" si="35"/>
        <v>0</v>
      </c>
      <c r="T110" s="32">
        <f t="shared" si="35"/>
        <v>0</v>
      </c>
      <c r="U110" s="32">
        <f>SUM(U111+U112+U113+U114)</f>
        <v>0</v>
      </c>
      <c r="V110" s="32">
        <f t="shared" si="32"/>
        <v>0</v>
      </c>
      <c r="W110" s="48" t="e">
        <f t="shared" si="33"/>
        <v>#DIV/0!</v>
      </c>
      <c r="X110" s="56"/>
    </row>
    <row r="111" spans="1:24" ht="12.75" customHeight="1" hidden="1">
      <c r="A111" s="49"/>
      <c r="B111" s="23" t="s">
        <v>122</v>
      </c>
      <c r="C111" s="24" t="s">
        <v>12</v>
      </c>
      <c r="D111" s="24" t="s">
        <v>14</v>
      </c>
      <c r="E111" s="25"/>
      <c r="F111" s="26"/>
      <c r="G111" s="27" t="s">
        <v>125</v>
      </c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19">
        <f t="shared" si="32"/>
        <v>0</v>
      </c>
      <c r="W111" s="48" t="e">
        <f t="shared" si="33"/>
        <v>#DIV/0!</v>
      </c>
      <c r="X111" s="56"/>
    </row>
    <row r="112" spans="1:24" ht="12.75" customHeight="1" hidden="1">
      <c r="A112" s="49"/>
      <c r="B112" s="23" t="s">
        <v>122</v>
      </c>
      <c r="C112" s="24" t="s">
        <v>12</v>
      </c>
      <c r="D112" s="24" t="s">
        <v>22</v>
      </c>
      <c r="E112" s="25"/>
      <c r="F112" s="26"/>
      <c r="G112" s="27" t="s">
        <v>126</v>
      </c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19">
        <f t="shared" si="32"/>
        <v>0</v>
      </c>
      <c r="W112" s="48" t="e">
        <f t="shared" si="33"/>
        <v>#DIV/0!</v>
      </c>
      <c r="X112" s="56"/>
    </row>
    <row r="113" spans="1:24" ht="12.75" customHeight="1" hidden="1">
      <c r="A113" s="49"/>
      <c r="B113" s="23" t="s">
        <v>122</v>
      </c>
      <c r="C113" s="24" t="s">
        <v>12</v>
      </c>
      <c r="D113" s="24" t="s">
        <v>54</v>
      </c>
      <c r="E113" s="25"/>
      <c r="F113" s="26"/>
      <c r="G113" s="27" t="s">
        <v>127</v>
      </c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19">
        <f t="shared" si="32"/>
        <v>0</v>
      </c>
      <c r="W113" s="48" t="e">
        <f t="shared" si="33"/>
        <v>#DIV/0!</v>
      </c>
      <c r="X113" s="56"/>
    </row>
    <row r="114" spans="1:24" ht="12.75" customHeight="1" hidden="1">
      <c r="A114" s="49"/>
      <c r="B114" s="23" t="s">
        <v>122</v>
      </c>
      <c r="C114" s="24" t="s">
        <v>12</v>
      </c>
      <c r="D114" s="24" t="s">
        <v>30</v>
      </c>
      <c r="E114" s="25"/>
      <c r="F114" s="26"/>
      <c r="G114" s="27" t="s">
        <v>31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19">
        <f t="shared" si="32"/>
        <v>0</v>
      </c>
      <c r="W114" s="48" t="e">
        <f t="shared" si="33"/>
        <v>#DIV/0!</v>
      </c>
      <c r="X114" s="56"/>
    </row>
    <row r="115" spans="1:24" ht="12.75" customHeight="1" hidden="1">
      <c r="A115" s="49"/>
      <c r="B115" s="23" t="s">
        <v>122</v>
      </c>
      <c r="C115" s="24" t="s">
        <v>35</v>
      </c>
      <c r="D115" s="24"/>
      <c r="E115" s="21"/>
      <c r="F115" s="22"/>
      <c r="G115" s="61" t="s">
        <v>128</v>
      </c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2">
        <f t="shared" si="32"/>
        <v>0</v>
      </c>
      <c r="W115" s="48" t="e">
        <f t="shared" si="33"/>
        <v>#DIV/0!</v>
      </c>
      <c r="X115" s="56"/>
    </row>
    <row r="116" spans="1:24" ht="12.75" customHeight="1" hidden="1">
      <c r="A116" s="49"/>
      <c r="B116" s="23" t="s">
        <v>122</v>
      </c>
      <c r="C116" s="24" t="s">
        <v>40</v>
      </c>
      <c r="D116" s="24"/>
      <c r="E116" s="21"/>
      <c r="F116" s="22"/>
      <c r="G116" s="27" t="s">
        <v>129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2">
        <f t="shared" si="32"/>
        <v>0</v>
      </c>
      <c r="W116" s="48" t="e">
        <f t="shared" si="33"/>
        <v>#DIV/0!</v>
      </c>
      <c r="X116" s="56"/>
    </row>
    <row r="117" spans="1:24" ht="12.75" hidden="1">
      <c r="A117" s="49"/>
      <c r="B117" s="28"/>
      <c r="C117" s="29"/>
      <c r="D117" s="29"/>
      <c r="E117" s="21"/>
      <c r="F117" s="22"/>
      <c r="G117" s="30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47"/>
      <c r="X117" s="56"/>
    </row>
    <row r="118" spans="1:24" ht="12.75">
      <c r="A118" s="49"/>
      <c r="B118" s="168" t="s">
        <v>130</v>
      </c>
      <c r="C118" s="169"/>
      <c r="D118" s="169"/>
      <c r="E118" s="170"/>
      <c r="F118" s="171"/>
      <c r="G118" s="172" t="s">
        <v>131</v>
      </c>
      <c r="H118" s="174">
        <f>+Ingresos!I118</f>
        <v>1400882000</v>
      </c>
      <c r="I118" s="174">
        <f>SUM(I119+I120+I121+I122+I123)</f>
        <v>109078076</v>
      </c>
      <c r="J118" s="174">
        <f>SUM(J119+J120+J121+J122+J123)</f>
        <v>82534141</v>
      </c>
      <c r="K118" s="174">
        <f>SUM(K119+K120+K121+K122+K123)</f>
        <v>163805398</v>
      </c>
      <c r="L118" s="174">
        <f>SUM(L120+L123)</f>
        <v>180053028</v>
      </c>
      <c r="M118" s="174">
        <f>SUM(M119+M120+M121+M122+M123)</f>
        <v>58401688</v>
      </c>
      <c r="N118" s="174">
        <f aca="true" t="shared" si="36" ref="N118:T118">SUM(N119+N120+N121+N122+N123)</f>
        <v>50174199</v>
      </c>
      <c r="O118" s="174">
        <f t="shared" si="36"/>
        <v>37394221</v>
      </c>
      <c r="P118" s="174">
        <f t="shared" si="36"/>
        <v>32154030</v>
      </c>
      <c r="Q118" s="174">
        <f t="shared" si="36"/>
        <v>32099749</v>
      </c>
      <c r="R118" s="174">
        <f t="shared" si="36"/>
        <v>0</v>
      </c>
      <c r="S118" s="174">
        <f t="shared" si="36"/>
        <v>0</v>
      </c>
      <c r="T118" s="174">
        <f t="shared" si="36"/>
        <v>0</v>
      </c>
      <c r="U118" s="174">
        <f>SUM(U119+U120+U121+U122+U123)</f>
        <v>745694530</v>
      </c>
      <c r="V118" s="174">
        <f t="shared" si="32"/>
        <v>655187470</v>
      </c>
      <c r="W118" s="175">
        <f t="shared" si="33"/>
        <v>0.5323035987327983</v>
      </c>
      <c r="X118" s="56"/>
    </row>
    <row r="119" spans="1:24" ht="12.75" customHeight="1" hidden="1">
      <c r="A119" s="49"/>
      <c r="B119" s="23" t="s">
        <v>130</v>
      </c>
      <c r="C119" s="24" t="s">
        <v>35</v>
      </c>
      <c r="D119" s="24"/>
      <c r="E119" s="21"/>
      <c r="F119" s="22"/>
      <c r="G119" s="27" t="s">
        <v>132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2">
        <f t="shared" si="32"/>
        <v>0</v>
      </c>
      <c r="W119" s="48" t="e">
        <f t="shared" si="33"/>
        <v>#DIV/0!</v>
      </c>
      <c r="X119" s="56"/>
    </row>
    <row r="120" spans="1:24" ht="12.75" customHeight="1">
      <c r="A120" s="49"/>
      <c r="B120" s="23" t="s">
        <v>130</v>
      </c>
      <c r="C120" s="24" t="s">
        <v>76</v>
      </c>
      <c r="D120" s="24"/>
      <c r="E120" s="21"/>
      <c r="F120" s="22"/>
      <c r="G120" s="27" t="s">
        <v>133</v>
      </c>
      <c r="H120" s="31">
        <f>+Ingresos!I119</f>
        <v>96789000</v>
      </c>
      <c r="I120" s="31"/>
      <c r="J120" s="31"/>
      <c r="K120" s="31">
        <f>+Ingresos!L119</f>
        <v>0</v>
      </c>
      <c r="L120" s="31">
        <f>+Ingresos!M119</f>
        <v>96788388</v>
      </c>
      <c r="M120" s="31">
        <f>+Ingresos!N119</f>
        <v>0</v>
      </c>
      <c r="N120" s="31">
        <f>+Ingresos!O119</f>
        <v>0</v>
      </c>
      <c r="O120" s="31"/>
      <c r="P120" s="31"/>
      <c r="Q120" s="31"/>
      <c r="R120" s="31"/>
      <c r="S120" s="31"/>
      <c r="T120" s="31"/>
      <c r="U120" s="32">
        <f>SUM(I120:T120)</f>
        <v>96788388</v>
      </c>
      <c r="V120" s="32">
        <f t="shared" si="32"/>
        <v>612</v>
      </c>
      <c r="W120" s="48">
        <f t="shared" si="33"/>
        <v>0.999993676967424</v>
      </c>
      <c r="X120" s="56"/>
    </row>
    <row r="121" spans="1:24" ht="12.75" customHeight="1" hidden="1">
      <c r="A121" s="49"/>
      <c r="B121" s="23" t="s">
        <v>130</v>
      </c>
      <c r="C121" s="24" t="s">
        <v>78</v>
      </c>
      <c r="D121" s="24"/>
      <c r="E121" s="21"/>
      <c r="F121" s="22"/>
      <c r="G121" s="27" t="s">
        <v>134</v>
      </c>
      <c r="H121" s="31"/>
      <c r="I121" s="31"/>
      <c r="J121" s="31"/>
      <c r="K121" s="31"/>
      <c r="L121" s="31">
        <f>+Ingresos!L119</f>
        <v>0</v>
      </c>
      <c r="M121" s="31"/>
      <c r="N121" s="31"/>
      <c r="O121" s="31"/>
      <c r="P121" s="31"/>
      <c r="Q121" s="31"/>
      <c r="R121" s="31"/>
      <c r="S121" s="31"/>
      <c r="T121" s="31"/>
      <c r="U121" s="31"/>
      <c r="V121" s="32">
        <f t="shared" si="32"/>
        <v>0</v>
      </c>
      <c r="W121" s="48" t="e">
        <f t="shared" si="33"/>
        <v>#DIV/0!</v>
      </c>
      <c r="X121" s="56"/>
    </row>
    <row r="122" spans="1:24" ht="12.75" customHeight="1" hidden="1">
      <c r="A122" s="49"/>
      <c r="B122" s="23" t="s">
        <v>130</v>
      </c>
      <c r="C122" s="24" t="s">
        <v>135</v>
      </c>
      <c r="D122" s="24"/>
      <c r="E122" s="21"/>
      <c r="F122" s="22"/>
      <c r="G122" s="27" t="s">
        <v>136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2">
        <f t="shared" si="32"/>
        <v>0</v>
      </c>
      <c r="W122" s="48" t="e">
        <f t="shared" si="33"/>
        <v>#DIV/0!</v>
      </c>
      <c r="X122" s="56"/>
    </row>
    <row r="123" spans="1:24" ht="12.75">
      <c r="A123" s="49"/>
      <c r="B123" s="23" t="s">
        <v>130</v>
      </c>
      <c r="C123" s="24" t="s">
        <v>112</v>
      </c>
      <c r="D123" s="24"/>
      <c r="E123" s="21"/>
      <c r="F123" s="22"/>
      <c r="G123" s="27" t="s">
        <v>137</v>
      </c>
      <c r="H123" s="31">
        <f>+Ingresos!I120</f>
        <v>1304093000</v>
      </c>
      <c r="I123" s="31">
        <f>+Ingresos!J120</f>
        <v>109078076</v>
      </c>
      <c r="J123" s="31">
        <f>+Ingresos!K120</f>
        <v>82534141</v>
      </c>
      <c r="K123" s="31">
        <f>+Ingresos!L120</f>
        <v>163805398</v>
      </c>
      <c r="L123" s="31">
        <f>+Ingresos!M120</f>
        <v>83264640</v>
      </c>
      <c r="M123" s="31">
        <f>+Ingresos!N120</f>
        <v>58401688</v>
      </c>
      <c r="N123" s="31">
        <f>+Ingresos!O120</f>
        <v>50174199</v>
      </c>
      <c r="O123" s="31">
        <f>+Ingresos!P120</f>
        <v>37394221</v>
      </c>
      <c r="P123" s="31">
        <f>+Ingresos!Q120</f>
        <v>32154030</v>
      </c>
      <c r="Q123" s="31">
        <f>+Ingresos!R120</f>
        <v>32099749</v>
      </c>
      <c r="R123" s="31">
        <f>+Ingresos!S120</f>
        <v>0</v>
      </c>
      <c r="S123" s="31">
        <f>+Ingresos!T120</f>
        <v>0</v>
      </c>
      <c r="T123" s="31">
        <f>+Ingresos!U120</f>
        <v>0</v>
      </c>
      <c r="U123" s="32">
        <f>SUM(I123:T123)</f>
        <v>648906142</v>
      </c>
      <c r="V123" s="32">
        <f t="shared" si="32"/>
        <v>655186858</v>
      </c>
      <c r="W123" s="47">
        <f t="shared" si="33"/>
        <v>0.49759192174177763</v>
      </c>
      <c r="X123" s="56"/>
    </row>
    <row r="124" spans="1:24" ht="12.75">
      <c r="A124" s="49"/>
      <c r="B124" s="28"/>
      <c r="C124" s="24"/>
      <c r="D124" s="24"/>
      <c r="E124" s="21"/>
      <c r="F124" s="22"/>
      <c r="G124" s="27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47"/>
      <c r="X124" s="56"/>
    </row>
    <row r="125" spans="1:24" ht="12.75">
      <c r="A125" s="49"/>
      <c r="B125" s="168" t="s">
        <v>138</v>
      </c>
      <c r="C125" s="169"/>
      <c r="D125" s="169"/>
      <c r="E125" s="170"/>
      <c r="F125" s="171"/>
      <c r="G125" s="172" t="s">
        <v>139</v>
      </c>
      <c r="H125" s="174">
        <f>+Ingresos!I122</f>
        <v>260218000</v>
      </c>
      <c r="I125" s="174">
        <f>SUM(I126+I129)</f>
        <v>103652542</v>
      </c>
      <c r="J125" s="174">
        <f>SUM(J126+J129)</f>
        <v>345584</v>
      </c>
      <c r="K125" s="174">
        <f>SUM(K126+K129)</f>
        <v>0</v>
      </c>
      <c r="L125" s="174">
        <f>SUM(L126+L129)</f>
        <v>5623</v>
      </c>
      <c r="M125" s="174">
        <f>SUM(M126+M129)</f>
        <v>9972405</v>
      </c>
      <c r="N125" s="174">
        <f aca="true" t="shared" si="37" ref="N125:T125">SUM(N126+N129)</f>
        <v>26000463</v>
      </c>
      <c r="O125" s="174">
        <f t="shared" si="37"/>
        <v>118263</v>
      </c>
      <c r="P125" s="174">
        <f t="shared" si="37"/>
        <v>8628983</v>
      </c>
      <c r="Q125" s="174">
        <f t="shared" si="37"/>
        <v>256380</v>
      </c>
      <c r="R125" s="174">
        <f t="shared" si="37"/>
        <v>0</v>
      </c>
      <c r="S125" s="174">
        <f t="shared" si="37"/>
        <v>0</v>
      </c>
      <c r="T125" s="174">
        <f t="shared" si="37"/>
        <v>0</v>
      </c>
      <c r="U125" s="174">
        <f>SUM(U126+U129)</f>
        <v>148980243</v>
      </c>
      <c r="V125" s="174">
        <f t="shared" si="32"/>
        <v>111237757</v>
      </c>
      <c r="W125" s="175">
        <f t="shared" si="33"/>
        <v>0.5725208978625614</v>
      </c>
      <c r="X125" s="56"/>
    </row>
    <row r="126" spans="1:24" ht="12.75">
      <c r="A126" s="49"/>
      <c r="B126" s="23" t="s">
        <v>138</v>
      </c>
      <c r="C126" s="24" t="s">
        <v>12</v>
      </c>
      <c r="D126" s="24"/>
      <c r="E126" s="21"/>
      <c r="F126" s="22"/>
      <c r="G126" s="27" t="s">
        <v>44</v>
      </c>
      <c r="H126" s="32">
        <f>+Ingresos!I123</f>
        <v>0</v>
      </c>
      <c r="I126" s="32">
        <f>+Ingresos!J123</f>
        <v>0</v>
      </c>
      <c r="J126" s="32">
        <f>+Ingresos!K123</f>
        <v>0</v>
      </c>
      <c r="K126" s="32">
        <f>+Ingresos!L123</f>
        <v>0</v>
      </c>
      <c r="L126" s="32">
        <f>+Ingresos!M123</f>
        <v>0</v>
      </c>
      <c r="M126" s="32">
        <f>+Ingresos!N123</f>
        <v>0</v>
      </c>
      <c r="N126" s="32">
        <f>+Ingresos!O123</f>
        <v>0</v>
      </c>
      <c r="O126" s="32">
        <f>+Ingresos!P123</f>
        <v>0</v>
      </c>
      <c r="P126" s="32">
        <f>+Ingresos!Q123</f>
        <v>0</v>
      </c>
      <c r="Q126" s="32">
        <f>+Ingresos!R123</f>
        <v>0</v>
      </c>
      <c r="R126" s="32">
        <f>+Ingresos!S123</f>
        <v>0</v>
      </c>
      <c r="S126" s="32">
        <f>+Ingresos!T123</f>
        <v>0</v>
      </c>
      <c r="T126" s="32">
        <f>+Ingresos!U123</f>
        <v>0</v>
      </c>
      <c r="U126" s="32">
        <f>+Ingresos!V123</f>
        <v>0</v>
      </c>
      <c r="V126" s="32">
        <f t="shared" si="32"/>
        <v>0</v>
      </c>
      <c r="W126" s="47">
        <v>0</v>
      </c>
      <c r="X126" s="56"/>
    </row>
    <row r="127" spans="1:24" ht="12.75" customHeight="1" hidden="1">
      <c r="A127" s="49"/>
      <c r="B127" s="23" t="s">
        <v>138</v>
      </c>
      <c r="C127" s="24" t="s">
        <v>12</v>
      </c>
      <c r="D127" s="24" t="s">
        <v>14</v>
      </c>
      <c r="E127" s="25"/>
      <c r="F127" s="26"/>
      <c r="G127" s="27" t="s">
        <v>140</v>
      </c>
      <c r="H127" s="31"/>
      <c r="I127" s="31">
        <v>420</v>
      </c>
      <c r="J127" s="31">
        <v>420</v>
      </c>
      <c r="K127" s="31">
        <v>420</v>
      </c>
      <c r="L127" s="31">
        <v>420</v>
      </c>
      <c r="M127" s="31">
        <v>420</v>
      </c>
      <c r="N127" s="31">
        <v>420</v>
      </c>
      <c r="O127" s="31">
        <v>420</v>
      </c>
      <c r="P127" s="31">
        <v>420</v>
      </c>
      <c r="Q127" s="31">
        <v>420</v>
      </c>
      <c r="R127" s="31">
        <v>420</v>
      </c>
      <c r="S127" s="31">
        <v>420</v>
      </c>
      <c r="T127" s="31">
        <v>420</v>
      </c>
      <c r="U127" s="32">
        <f>SUM(I127:T127)</f>
        <v>5040</v>
      </c>
      <c r="V127" s="32">
        <f t="shared" si="32"/>
        <v>-5040</v>
      </c>
      <c r="W127" s="48" t="e">
        <f t="shared" si="33"/>
        <v>#DIV/0!</v>
      </c>
      <c r="X127" s="56"/>
    </row>
    <row r="128" spans="1:24" ht="12.75" customHeight="1" hidden="1">
      <c r="A128" s="49"/>
      <c r="B128" s="23" t="s">
        <v>138</v>
      </c>
      <c r="C128" s="24" t="s">
        <v>12</v>
      </c>
      <c r="D128" s="24" t="s">
        <v>30</v>
      </c>
      <c r="E128" s="25"/>
      <c r="F128" s="26"/>
      <c r="G128" s="27" t="s">
        <v>34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2">
        <f>SUM(I128:T128)</f>
        <v>0</v>
      </c>
      <c r="V128" s="32">
        <f t="shared" si="32"/>
        <v>0</v>
      </c>
      <c r="W128" s="48" t="e">
        <f t="shared" si="33"/>
        <v>#DIV/0!</v>
      </c>
      <c r="X128" s="56"/>
    </row>
    <row r="129" spans="1:24" ht="12.75">
      <c r="A129" s="49"/>
      <c r="B129" s="23" t="s">
        <v>138</v>
      </c>
      <c r="C129" s="24" t="s">
        <v>10</v>
      </c>
      <c r="D129" s="24"/>
      <c r="E129" s="21"/>
      <c r="F129" s="22"/>
      <c r="G129" s="27" t="s">
        <v>45</v>
      </c>
      <c r="H129" s="32">
        <f>+Ingresos!I126</f>
        <v>260218000</v>
      </c>
      <c r="I129" s="32">
        <f>+Ingresos!J126</f>
        <v>103652542</v>
      </c>
      <c r="J129" s="32">
        <f>+Ingresos!K126</f>
        <v>345584</v>
      </c>
      <c r="K129" s="32">
        <f>+Ingresos!L126</f>
        <v>0</v>
      </c>
      <c r="L129" s="32">
        <f>+Ingresos!M126</f>
        <v>5623</v>
      </c>
      <c r="M129" s="32">
        <f>+Ingresos!N126</f>
        <v>9972405</v>
      </c>
      <c r="N129" s="32">
        <f>+Ingresos!O126</f>
        <v>26000463</v>
      </c>
      <c r="O129" s="32">
        <f>+Ingresos!P126</f>
        <v>118263</v>
      </c>
      <c r="P129" s="32">
        <f>+Ingresos!Q126</f>
        <v>8628983</v>
      </c>
      <c r="Q129" s="32">
        <f>+Ingresos!R126</f>
        <v>256380</v>
      </c>
      <c r="R129" s="32">
        <f>+Ingresos!S126</f>
        <v>0</v>
      </c>
      <c r="S129" s="32">
        <f>+Ingresos!T126</f>
        <v>0</v>
      </c>
      <c r="T129" s="32">
        <f>+Ingresos!U126</f>
        <v>0</v>
      </c>
      <c r="U129" s="32">
        <f>+Ingresos!V126</f>
        <v>148980243</v>
      </c>
      <c r="V129" s="32">
        <f t="shared" si="32"/>
        <v>111237757</v>
      </c>
      <c r="W129" s="47">
        <f t="shared" si="33"/>
        <v>0.5725208978625614</v>
      </c>
      <c r="X129" s="56"/>
    </row>
    <row r="130" spans="1:24" ht="12.75" customHeight="1" hidden="1">
      <c r="A130" s="49"/>
      <c r="B130" s="23" t="s">
        <v>138</v>
      </c>
      <c r="C130" s="24" t="s">
        <v>10</v>
      </c>
      <c r="D130" s="24" t="s">
        <v>17</v>
      </c>
      <c r="E130" s="25"/>
      <c r="F130" s="26"/>
      <c r="G130" s="27" t="s">
        <v>47</v>
      </c>
      <c r="H130" s="19">
        <f aca="true" t="shared" si="38" ref="H130:M130">SUM(H131+H132)</f>
        <v>0</v>
      </c>
      <c r="I130" s="19">
        <f t="shared" si="38"/>
        <v>0</v>
      </c>
      <c r="J130" s="19">
        <f t="shared" si="38"/>
        <v>0</v>
      </c>
      <c r="K130" s="19">
        <f t="shared" si="38"/>
        <v>0</v>
      </c>
      <c r="L130" s="19">
        <f t="shared" si="38"/>
        <v>0</v>
      </c>
      <c r="M130" s="19">
        <f t="shared" si="38"/>
        <v>0</v>
      </c>
      <c r="N130" s="19">
        <f aca="true" t="shared" si="39" ref="N130:T130">SUM(N131+N132)</f>
        <v>0</v>
      </c>
      <c r="O130" s="19">
        <f t="shared" si="39"/>
        <v>0</v>
      </c>
      <c r="P130" s="19">
        <f t="shared" si="39"/>
        <v>0</v>
      </c>
      <c r="Q130" s="19">
        <f t="shared" si="39"/>
        <v>0</v>
      </c>
      <c r="R130" s="19">
        <f t="shared" si="39"/>
        <v>0</v>
      </c>
      <c r="S130" s="19">
        <f t="shared" si="39"/>
        <v>0</v>
      </c>
      <c r="T130" s="19">
        <f t="shared" si="39"/>
        <v>0</v>
      </c>
      <c r="U130" s="19">
        <f>SUM(U131+U132)</f>
        <v>0</v>
      </c>
      <c r="V130" s="19">
        <f t="shared" si="32"/>
        <v>0</v>
      </c>
      <c r="W130" s="48" t="e">
        <f t="shared" si="33"/>
        <v>#DIV/0!</v>
      </c>
      <c r="X130" s="56"/>
    </row>
    <row r="131" spans="1:24" ht="12.75" customHeight="1" hidden="1">
      <c r="A131" s="49"/>
      <c r="B131" s="28"/>
      <c r="C131" s="29"/>
      <c r="D131" s="29"/>
      <c r="E131" s="21" t="s">
        <v>14</v>
      </c>
      <c r="F131" s="22"/>
      <c r="G131" s="30" t="s">
        <v>141</v>
      </c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19">
        <f t="shared" si="32"/>
        <v>0</v>
      </c>
      <c r="W131" s="48" t="e">
        <f t="shared" si="33"/>
        <v>#DIV/0!</v>
      </c>
      <c r="X131" s="56"/>
    </row>
    <row r="132" spans="1:24" ht="12.75" customHeight="1" hidden="1">
      <c r="A132" s="49"/>
      <c r="B132" s="28"/>
      <c r="C132" s="29"/>
      <c r="D132" s="29"/>
      <c r="E132" s="21" t="s">
        <v>17</v>
      </c>
      <c r="F132" s="22"/>
      <c r="G132" s="30" t="s">
        <v>142</v>
      </c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19">
        <f t="shared" si="32"/>
        <v>0</v>
      </c>
      <c r="W132" s="48" t="e">
        <f t="shared" si="33"/>
        <v>#DIV/0!</v>
      </c>
      <c r="X132" s="56"/>
    </row>
    <row r="133" spans="1:24" ht="12.75" customHeight="1" hidden="1">
      <c r="A133" s="49"/>
      <c r="B133" s="23" t="s">
        <v>138</v>
      </c>
      <c r="C133" s="24" t="s">
        <v>10</v>
      </c>
      <c r="D133" s="24" t="s">
        <v>28</v>
      </c>
      <c r="E133" s="25"/>
      <c r="F133" s="26"/>
      <c r="G133" s="27" t="s">
        <v>49</v>
      </c>
      <c r="H133" s="19">
        <f>SUM(H134)</f>
        <v>0</v>
      </c>
      <c r="I133" s="19">
        <f aca="true" t="shared" si="40" ref="I133:T133">SUM(I134)</f>
        <v>0</v>
      </c>
      <c r="J133" s="19">
        <f t="shared" si="40"/>
        <v>0</v>
      </c>
      <c r="K133" s="19">
        <f t="shared" si="40"/>
        <v>0</v>
      </c>
      <c r="L133" s="19">
        <f t="shared" si="40"/>
        <v>0</v>
      </c>
      <c r="M133" s="19">
        <f t="shared" si="40"/>
        <v>0</v>
      </c>
      <c r="N133" s="19">
        <f t="shared" si="40"/>
        <v>0</v>
      </c>
      <c r="O133" s="19">
        <f t="shared" si="40"/>
        <v>0</v>
      </c>
      <c r="P133" s="19">
        <f t="shared" si="40"/>
        <v>0</v>
      </c>
      <c r="Q133" s="19">
        <f t="shared" si="40"/>
        <v>0</v>
      </c>
      <c r="R133" s="19">
        <f t="shared" si="40"/>
        <v>0</v>
      </c>
      <c r="S133" s="19">
        <f t="shared" si="40"/>
        <v>0</v>
      </c>
      <c r="T133" s="19">
        <f t="shared" si="40"/>
        <v>0</v>
      </c>
      <c r="U133" s="19">
        <f>SUM(U134)</f>
        <v>0</v>
      </c>
      <c r="V133" s="19">
        <f t="shared" si="32"/>
        <v>0</v>
      </c>
      <c r="W133" s="48" t="e">
        <f t="shared" si="33"/>
        <v>#DIV/0!</v>
      </c>
      <c r="X133" s="56"/>
    </row>
    <row r="134" spans="1:24" ht="12.75" customHeight="1" hidden="1">
      <c r="A134" s="49"/>
      <c r="B134" s="28"/>
      <c r="C134" s="29"/>
      <c r="D134" s="29"/>
      <c r="E134" s="21" t="s">
        <v>14</v>
      </c>
      <c r="F134" s="22"/>
      <c r="G134" s="30" t="s">
        <v>51</v>
      </c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19">
        <f t="shared" si="32"/>
        <v>0</v>
      </c>
      <c r="W134" s="48" t="e">
        <f t="shared" si="33"/>
        <v>#DIV/0!</v>
      </c>
      <c r="X134" s="56"/>
    </row>
    <row r="135" spans="1:24" ht="12.75" customHeight="1" hidden="1">
      <c r="A135" s="49"/>
      <c r="B135" s="23" t="s">
        <v>138</v>
      </c>
      <c r="C135" s="24" t="s">
        <v>10</v>
      </c>
      <c r="D135" s="24" t="s">
        <v>54</v>
      </c>
      <c r="E135" s="25"/>
      <c r="F135" s="26"/>
      <c r="G135" s="27" t="s">
        <v>62</v>
      </c>
      <c r="H135" s="19">
        <f aca="true" t="shared" si="41" ref="H135:M135">SUM(H136+H137)</f>
        <v>0</v>
      </c>
      <c r="I135" s="19">
        <f t="shared" si="41"/>
        <v>0</v>
      </c>
      <c r="J135" s="19">
        <f t="shared" si="41"/>
        <v>0</v>
      </c>
      <c r="K135" s="19">
        <f t="shared" si="41"/>
        <v>0</v>
      </c>
      <c r="L135" s="19">
        <f t="shared" si="41"/>
        <v>0</v>
      </c>
      <c r="M135" s="19">
        <f t="shared" si="41"/>
        <v>0</v>
      </c>
      <c r="N135" s="19">
        <f aca="true" t="shared" si="42" ref="N135:T135">SUM(N136+N137)</f>
        <v>0</v>
      </c>
      <c r="O135" s="19">
        <f t="shared" si="42"/>
        <v>0</v>
      </c>
      <c r="P135" s="19">
        <f t="shared" si="42"/>
        <v>0</v>
      </c>
      <c r="Q135" s="19">
        <f t="shared" si="42"/>
        <v>0</v>
      </c>
      <c r="R135" s="19">
        <f t="shared" si="42"/>
        <v>0</v>
      </c>
      <c r="S135" s="19">
        <f t="shared" si="42"/>
        <v>0</v>
      </c>
      <c r="T135" s="19">
        <f t="shared" si="42"/>
        <v>0</v>
      </c>
      <c r="U135" s="19">
        <f>SUM(U136+U137)</f>
        <v>0</v>
      </c>
      <c r="V135" s="19">
        <f t="shared" si="32"/>
        <v>0</v>
      </c>
      <c r="W135" s="48" t="e">
        <f t="shared" si="33"/>
        <v>#DIV/0!</v>
      </c>
      <c r="X135" s="56"/>
    </row>
    <row r="136" spans="1:24" ht="12.75" customHeight="1" hidden="1">
      <c r="A136" s="49"/>
      <c r="B136" s="28"/>
      <c r="C136" s="29"/>
      <c r="D136" s="29"/>
      <c r="E136" s="21" t="s">
        <v>14</v>
      </c>
      <c r="F136" s="22"/>
      <c r="G136" s="30" t="s">
        <v>143</v>
      </c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19">
        <f t="shared" si="32"/>
        <v>0</v>
      </c>
      <c r="W136" s="48" t="e">
        <f t="shared" si="33"/>
        <v>#DIV/0!</v>
      </c>
      <c r="X136" s="56"/>
    </row>
    <row r="137" spans="1:24" ht="12.75" customHeight="1" hidden="1">
      <c r="A137" s="49"/>
      <c r="B137" s="28"/>
      <c r="C137" s="29"/>
      <c r="D137" s="29"/>
      <c r="E137" s="21" t="s">
        <v>17</v>
      </c>
      <c r="F137" s="22"/>
      <c r="G137" s="30" t="s">
        <v>144</v>
      </c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19">
        <f t="shared" si="32"/>
        <v>0</v>
      </c>
      <c r="W137" s="48" t="e">
        <f t="shared" si="33"/>
        <v>#DIV/0!</v>
      </c>
      <c r="X137" s="56"/>
    </row>
    <row r="138" spans="1:24" ht="12.75" customHeight="1" hidden="1">
      <c r="A138" s="49"/>
      <c r="B138" s="23" t="s">
        <v>138</v>
      </c>
      <c r="C138" s="24" t="s">
        <v>10</v>
      </c>
      <c r="D138" s="24" t="s">
        <v>30</v>
      </c>
      <c r="E138" s="25"/>
      <c r="F138" s="26"/>
      <c r="G138" s="27" t="s">
        <v>68</v>
      </c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19">
        <f t="shared" si="32"/>
        <v>0</v>
      </c>
      <c r="W138" s="48" t="e">
        <f t="shared" si="33"/>
        <v>#DIV/0!</v>
      </c>
      <c r="X138" s="56"/>
    </row>
    <row r="139" spans="1:24" ht="12.75" hidden="1">
      <c r="A139" s="49"/>
      <c r="B139" s="28"/>
      <c r="C139" s="29"/>
      <c r="D139" s="29"/>
      <c r="E139" s="21"/>
      <c r="F139" s="22"/>
      <c r="G139" s="30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47"/>
      <c r="X139" s="56"/>
    </row>
    <row r="140" spans="1:24" ht="12.75" hidden="1">
      <c r="A140" s="49"/>
      <c r="B140" s="168" t="s">
        <v>145</v>
      </c>
      <c r="C140" s="169"/>
      <c r="D140" s="169"/>
      <c r="E140" s="170"/>
      <c r="F140" s="171"/>
      <c r="G140" s="172" t="s">
        <v>146</v>
      </c>
      <c r="H140" s="174">
        <f>+Ingresos!I140</f>
        <v>0</v>
      </c>
      <c r="I140" s="174">
        <f aca="true" t="shared" si="43" ref="I140:T140">SUM(I141)</f>
        <v>0</v>
      </c>
      <c r="J140" s="174">
        <f t="shared" si="43"/>
        <v>0</v>
      </c>
      <c r="K140" s="174">
        <f t="shared" si="43"/>
        <v>0</v>
      </c>
      <c r="L140" s="174">
        <f t="shared" si="43"/>
        <v>0</v>
      </c>
      <c r="M140" s="174">
        <f t="shared" si="43"/>
        <v>0</v>
      </c>
      <c r="N140" s="174">
        <f t="shared" si="43"/>
        <v>0</v>
      </c>
      <c r="O140" s="174">
        <f t="shared" si="43"/>
        <v>0</v>
      </c>
      <c r="P140" s="174">
        <f t="shared" si="43"/>
        <v>0</v>
      </c>
      <c r="Q140" s="174">
        <f t="shared" si="43"/>
        <v>0</v>
      </c>
      <c r="R140" s="174">
        <f t="shared" si="43"/>
        <v>0</v>
      </c>
      <c r="S140" s="174">
        <f t="shared" si="43"/>
        <v>0</v>
      </c>
      <c r="T140" s="174">
        <f t="shared" si="43"/>
        <v>0</v>
      </c>
      <c r="U140" s="174">
        <f>SUM(U141)</f>
        <v>0</v>
      </c>
      <c r="V140" s="174">
        <f aca="true" t="shared" si="44" ref="V140:V145">H140-U140</f>
        <v>0</v>
      </c>
      <c r="W140" s="175"/>
      <c r="X140" s="56"/>
    </row>
    <row r="141" spans="1:24" ht="12.75" customHeight="1" hidden="1">
      <c r="A141" s="49"/>
      <c r="B141" s="23" t="s">
        <v>145</v>
      </c>
      <c r="C141" s="24" t="s">
        <v>12</v>
      </c>
      <c r="D141" s="24"/>
      <c r="E141" s="21"/>
      <c r="F141" s="22"/>
      <c r="G141" s="27" t="s">
        <v>147</v>
      </c>
      <c r="H141" s="32">
        <f>+Ingresos!I141</f>
        <v>0</v>
      </c>
      <c r="I141" s="32">
        <f>SUM(I142+I143)</f>
        <v>0</v>
      </c>
      <c r="J141" s="32">
        <f>SUM(J142+J143)</f>
        <v>0</v>
      </c>
      <c r="K141" s="32">
        <f>SUM(K142+K143)</f>
        <v>0</v>
      </c>
      <c r="L141" s="32">
        <f>SUM(L142+L143)</f>
        <v>0</v>
      </c>
      <c r="M141" s="32">
        <f>SUM(M142+M143)</f>
        <v>0</v>
      </c>
      <c r="N141" s="32">
        <f aca="true" t="shared" si="45" ref="N141:T141">SUM(N142+N143)</f>
        <v>0</v>
      </c>
      <c r="O141" s="32">
        <f t="shared" si="45"/>
        <v>0</v>
      </c>
      <c r="P141" s="32">
        <f t="shared" si="45"/>
        <v>0</v>
      </c>
      <c r="Q141" s="32">
        <f t="shared" si="45"/>
        <v>0</v>
      </c>
      <c r="R141" s="32">
        <f t="shared" si="45"/>
        <v>0</v>
      </c>
      <c r="S141" s="32">
        <f t="shared" si="45"/>
        <v>0</v>
      </c>
      <c r="T141" s="32">
        <f t="shared" si="45"/>
        <v>0</v>
      </c>
      <c r="U141" s="32">
        <f>SUM(I141:T141)</f>
        <v>0</v>
      </c>
      <c r="V141" s="32">
        <f t="shared" si="44"/>
        <v>0</v>
      </c>
      <c r="W141" s="47"/>
      <c r="X141" s="56"/>
    </row>
    <row r="142" spans="1:24" ht="12.75" customHeight="1" hidden="1">
      <c r="A142" s="49"/>
      <c r="B142" s="23" t="s">
        <v>145</v>
      </c>
      <c r="C142" s="24" t="s">
        <v>12</v>
      </c>
      <c r="D142" s="24" t="s">
        <v>17</v>
      </c>
      <c r="E142" s="25"/>
      <c r="F142" s="26"/>
      <c r="G142" s="27" t="s">
        <v>148</v>
      </c>
      <c r="H142" s="20">
        <f>+Ingresos!I142</f>
        <v>0</v>
      </c>
      <c r="I142" s="20">
        <f>+Ingresos!J142</f>
        <v>0</v>
      </c>
      <c r="J142" s="20">
        <f>+Ingresos!K142</f>
        <v>0</v>
      </c>
      <c r="K142" s="20">
        <f>+Ingresos!L142</f>
        <v>0</v>
      </c>
      <c r="L142" s="20">
        <f>+Ingresos!M142</f>
        <v>0</v>
      </c>
      <c r="M142" s="20">
        <f>+Ingresos!N142</f>
        <v>0</v>
      </c>
      <c r="N142" s="20">
        <f>+Ingresos!O142</f>
        <v>0</v>
      </c>
      <c r="O142" s="20">
        <f>+Ingresos!P142</f>
        <v>0</v>
      </c>
      <c r="P142" s="20">
        <f>+Ingresos!Q142</f>
        <v>0</v>
      </c>
      <c r="Q142" s="20">
        <f>+Ingresos!R142</f>
        <v>0</v>
      </c>
      <c r="R142" s="20">
        <f>+Ingresos!S142</f>
        <v>0</v>
      </c>
      <c r="S142" s="20">
        <f>+Ingresos!T142</f>
        <v>0</v>
      </c>
      <c r="T142" s="20">
        <f>+Ingresos!U142</f>
        <v>0</v>
      </c>
      <c r="U142" s="32">
        <f>SUM(I142:T142)</f>
        <v>0</v>
      </c>
      <c r="V142" s="19">
        <f t="shared" si="44"/>
        <v>0</v>
      </c>
      <c r="W142" s="48">
        <v>0</v>
      </c>
      <c r="X142" s="56"/>
    </row>
    <row r="143" spans="1:24" ht="12.75" customHeight="1" hidden="1">
      <c r="A143" s="49"/>
      <c r="B143" s="23" t="s">
        <v>145</v>
      </c>
      <c r="C143" s="24" t="s">
        <v>12</v>
      </c>
      <c r="D143" s="24" t="s">
        <v>22</v>
      </c>
      <c r="E143" s="25"/>
      <c r="F143" s="26"/>
      <c r="G143" s="27" t="s">
        <v>149</v>
      </c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19">
        <f t="shared" si="44"/>
        <v>0</v>
      </c>
      <c r="W143" s="48" t="e">
        <f t="shared" si="33"/>
        <v>#DIV/0!</v>
      </c>
      <c r="X143" s="56"/>
    </row>
    <row r="144" spans="1:24" ht="12.75" hidden="1">
      <c r="A144" s="49"/>
      <c r="B144" s="23"/>
      <c r="C144" s="29"/>
      <c r="D144" s="29"/>
      <c r="E144" s="21"/>
      <c r="F144" s="22"/>
      <c r="G144" s="30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47"/>
      <c r="X144" s="56"/>
    </row>
    <row r="145" spans="1:24" ht="12.75" hidden="1">
      <c r="A145" s="49"/>
      <c r="B145" s="168" t="s">
        <v>150</v>
      </c>
      <c r="C145" s="169"/>
      <c r="D145" s="169"/>
      <c r="E145" s="170"/>
      <c r="F145" s="171"/>
      <c r="G145" s="172" t="s">
        <v>151</v>
      </c>
      <c r="H145" s="173">
        <f>+Ingresos!I143</f>
        <v>2737566000</v>
      </c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4">
        <f t="shared" si="44"/>
        <v>2737566000</v>
      </c>
      <c r="W145" s="175"/>
      <c r="X145" s="56"/>
    </row>
    <row r="146" spans="1:25" ht="12.75">
      <c r="A146" s="49"/>
      <c r="B146" s="62"/>
      <c r="C146" s="57"/>
      <c r="D146" s="57"/>
      <c r="E146" s="58"/>
      <c r="F146" s="59"/>
      <c r="G146" s="63" t="s">
        <v>545</v>
      </c>
      <c r="H146" s="33">
        <f aca="true" t="shared" si="46" ref="H146:V146">SUM(H8+H35+H64+H71+H75+H99+H109+H118+H125+H140+H145)</f>
        <v>44380508000</v>
      </c>
      <c r="I146" s="33">
        <f t="shared" si="46"/>
        <v>3458978357</v>
      </c>
      <c r="J146" s="33">
        <f t="shared" si="46"/>
        <v>1758585355</v>
      </c>
      <c r="K146" s="33">
        <f t="shared" si="46"/>
        <v>4841423197</v>
      </c>
      <c r="L146" s="33">
        <f t="shared" si="46"/>
        <v>1632764154</v>
      </c>
      <c r="M146" s="33">
        <f t="shared" si="46"/>
        <v>3708439203</v>
      </c>
      <c r="N146" s="33">
        <f t="shared" si="46"/>
        <v>1627118027</v>
      </c>
      <c r="O146" s="33">
        <f t="shared" si="46"/>
        <v>11501997507</v>
      </c>
      <c r="P146" s="33">
        <f t="shared" si="46"/>
        <v>3081837779</v>
      </c>
      <c r="Q146" s="33">
        <f t="shared" si="46"/>
        <v>2793659514</v>
      </c>
      <c r="R146" s="33">
        <f t="shared" si="46"/>
        <v>0</v>
      </c>
      <c r="S146" s="33">
        <f t="shared" si="46"/>
        <v>0</v>
      </c>
      <c r="T146" s="33">
        <f t="shared" si="46"/>
        <v>0</v>
      </c>
      <c r="U146" s="33">
        <f t="shared" si="46"/>
        <v>34404803093</v>
      </c>
      <c r="V146" s="33">
        <f t="shared" si="46"/>
        <v>9975704907</v>
      </c>
      <c r="W146" s="167">
        <f t="shared" si="33"/>
        <v>0.7752232825500781</v>
      </c>
      <c r="X146" s="56"/>
      <c r="Y146" s="15"/>
    </row>
    <row r="147" spans="1:24" ht="13.5" customHeight="1" hidden="1" thickBot="1">
      <c r="A147" s="1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</row>
    <row r="148" spans="1:24" ht="13.5" customHeight="1">
      <c r="A148" s="16"/>
      <c r="B148" s="56"/>
      <c r="C148" s="56"/>
      <c r="D148" s="56"/>
      <c r="E148" s="56"/>
      <c r="F148" s="56"/>
      <c r="G148" s="56"/>
      <c r="H148" s="56"/>
      <c r="I148" s="432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64">
        <f>SUM(I146:T146)</f>
        <v>34404803093</v>
      </c>
      <c r="V148" s="56"/>
      <c r="W148" s="56"/>
      <c r="X148" s="56"/>
    </row>
    <row r="149" spans="1:24" ht="13.5" customHeight="1">
      <c r="A149" s="16"/>
      <c r="B149" s="50" t="s">
        <v>0</v>
      </c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64"/>
      <c r="V149" s="56"/>
      <c r="W149" s="56"/>
      <c r="X149" s="56"/>
    </row>
    <row r="150" spans="1:24" ht="13.5" customHeight="1">
      <c r="A150" s="16"/>
      <c r="B150" s="50" t="s">
        <v>1</v>
      </c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</row>
    <row r="151" spans="1:24" ht="15">
      <c r="A151" s="16"/>
      <c r="B151" s="56"/>
      <c r="C151" s="56"/>
      <c r="D151" s="56"/>
      <c r="E151" s="56"/>
      <c r="F151" s="56"/>
      <c r="G151" s="337" t="s">
        <v>673</v>
      </c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64"/>
      <c r="V151" s="56"/>
      <c r="W151" s="56"/>
      <c r="X151" s="56"/>
    </row>
    <row r="152" spans="1:24" ht="7.5" customHeight="1" thickBot="1">
      <c r="A152" s="16"/>
      <c r="B152" s="56"/>
      <c r="C152" s="56"/>
      <c r="D152" s="56"/>
      <c r="E152" s="56"/>
      <c r="F152" s="56"/>
      <c r="G152" s="56"/>
      <c r="H152" s="272"/>
      <c r="I152" s="56"/>
      <c r="J152" s="56"/>
      <c r="K152" s="56"/>
      <c r="L152" s="56"/>
      <c r="M152" s="56"/>
      <c r="N152" s="64"/>
      <c r="O152" s="56"/>
      <c r="P152" s="56"/>
      <c r="Q152" s="56"/>
      <c r="R152" s="56"/>
      <c r="S152" s="56"/>
      <c r="T152" s="56"/>
      <c r="U152" s="64"/>
      <c r="V152" s="56"/>
      <c r="W152" s="56"/>
      <c r="X152" s="56"/>
    </row>
    <row r="153" spans="1:24" ht="23.25" customHeight="1" thickBot="1">
      <c r="A153" s="16"/>
      <c r="B153" s="181" t="s">
        <v>2</v>
      </c>
      <c r="C153" s="181" t="s">
        <v>3</v>
      </c>
      <c r="D153" s="181" t="s">
        <v>4</v>
      </c>
      <c r="E153" s="181" t="s">
        <v>154</v>
      </c>
      <c r="F153" s="181" t="s">
        <v>155</v>
      </c>
      <c r="G153" s="333" t="s">
        <v>6</v>
      </c>
      <c r="H153" s="334" t="s">
        <v>156</v>
      </c>
      <c r="I153" s="334" t="s">
        <v>490</v>
      </c>
      <c r="J153" s="334" t="s">
        <v>491</v>
      </c>
      <c r="K153" s="334" t="s">
        <v>492</v>
      </c>
      <c r="L153" s="334" t="s">
        <v>493</v>
      </c>
      <c r="M153" s="334" t="s">
        <v>494</v>
      </c>
      <c r="N153" s="334" t="s">
        <v>495</v>
      </c>
      <c r="O153" s="334" t="s">
        <v>496</v>
      </c>
      <c r="P153" s="334" t="s">
        <v>497</v>
      </c>
      <c r="Q153" s="334" t="s">
        <v>502</v>
      </c>
      <c r="R153" s="334" t="s">
        <v>499</v>
      </c>
      <c r="S153" s="334" t="s">
        <v>500</v>
      </c>
      <c r="T153" s="334" t="s">
        <v>501</v>
      </c>
      <c r="U153" s="334" t="s">
        <v>157</v>
      </c>
      <c r="V153" s="335" t="s">
        <v>158</v>
      </c>
      <c r="W153" s="336" t="s">
        <v>527</v>
      </c>
      <c r="X153" s="336" t="s">
        <v>522</v>
      </c>
    </row>
    <row r="154" spans="1:24" ht="12.75">
      <c r="A154" s="16"/>
      <c r="B154" s="273" t="s">
        <v>159</v>
      </c>
      <c r="C154" s="274"/>
      <c r="D154" s="171"/>
      <c r="E154" s="274"/>
      <c r="F154" s="170"/>
      <c r="G154" s="275" t="s">
        <v>160</v>
      </c>
      <c r="H154" s="276">
        <f>SUM(H155+H259+H350+H361)</f>
        <v>7275496000</v>
      </c>
      <c r="I154" s="277">
        <f aca="true" t="shared" si="47" ref="I154:T154">SUM(I155+I259+I350+I361)</f>
        <v>503922479</v>
      </c>
      <c r="J154" s="277">
        <f t="shared" si="47"/>
        <v>533999309</v>
      </c>
      <c r="K154" s="277">
        <f t="shared" si="47"/>
        <v>506808643</v>
      </c>
      <c r="L154" s="277">
        <f t="shared" si="47"/>
        <v>555784000</v>
      </c>
      <c r="M154" s="277">
        <f t="shared" si="47"/>
        <v>716330737</v>
      </c>
      <c r="N154" s="277">
        <f t="shared" si="47"/>
        <v>525372026</v>
      </c>
      <c r="O154" s="277">
        <f t="shared" si="47"/>
        <v>700019743</v>
      </c>
      <c r="P154" s="277">
        <f t="shared" si="47"/>
        <v>521141958</v>
      </c>
      <c r="Q154" s="277">
        <f t="shared" si="47"/>
        <v>522461461</v>
      </c>
      <c r="R154" s="277">
        <f t="shared" si="47"/>
        <v>0</v>
      </c>
      <c r="S154" s="277">
        <f t="shared" si="47"/>
        <v>0</v>
      </c>
      <c r="T154" s="277">
        <f t="shared" si="47"/>
        <v>0</v>
      </c>
      <c r="U154" s="278">
        <f>+Gastos!U8</f>
        <v>5085840356</v>
      </c>
      <c r="V154" s="279">
        <f aca="true" t="shared" si="48" ref="V154:V185">H154-U154</f>
        <v>2189655644</v>
      </c>
      <c r="W154" s="277">
        <f>SUM(W155+W259+W350+W361)</f>
        <v>5259904</v>
      </c>
      <c r="X154" s="187">
        <f>+Gastos!X8</f>
        <v>69.90369255924269</v>
      </c>
    </row>
    <row r="155" spans="1:24" ht="12.75">
      <c r="A155" s="16"/>
      <c r="B155" s="28" t="s">
        <v>159</v>
      </c>
      <c r="C155" s="29" t="s">
        <v>12</v>
      </c>
      <c r="D155" s="22"/>
      <c r="E155" s="29"/>
      <c r="F155" s="21"/>
      <c r="G155" s="39" t="s">
        <v>161</v>
      </c>
      <c r="H155" s="19">
        <f>+Gastos!H9</f>
        <v>4018292000</v>
      </c>
      <c r="I155" s="37">
        <f>+Gastos!I9</f>
        <v>286904515</v>
      </c>
      <c r="J155" s="37">
        <f>+Gastos!J9</f>
        <v>265220835</v>
      </c>
      <c r="K155" s="37">
        <f>+Gastos!K9</f>
        <v>267272099</v>
      </c>
      <c r="L155" s="37">
        <f>+Gastos!L9</f>
        <v>294495791</v>
      </c>
      <c r="M155" s="37">
        <f>+Gastos!M9</f>
        <v>428729937</v>
      </c>
      <c r="N155" s="37">
        <f>+Gastos!N9</f>
        <v>268832591</v>
      </c>
      <c r="O155" s="37">
        <f>+Gastos!O9</f>
        <v>422073861</v>
      </c>
      <c r="P155" s="37">
        <f>+Gastos!P9</f>
        <v>289915317</v>
      </c>
      <c r="Q155" s="37">
        <f>+Gastos!Q9</f>
        <v>282864030</v>
      </c>
      <c r="R155" s="37">
        <f>+Gastos!R9</f>
        <v>0</v>
      </c>
      <c r="S155" s="37">
        <f>+Gastos!S9</f>
        <v>0</v>
      </c>
      <c r="T155" s="37">
        <f>+Gastos!T9</f>
        <v>0</v>
      </c>
      <c r="U155" s="38">
        <f>+Gastos!U9</f>
        <v>2806308976</v>
      </c>
      <c r="V155" s="19">
        <f t="shared" si="48"/>
        <v>1211983024</v>
      </c>
      <c r="W155" s="37">
        <f>+Gastos!W9</f>
        <v>0</v>
      </c>
      <c r="X155" s="65">
        <f>+Gastos!X9</f>
        <v>69.83835360894629</v>
      </c>
    </row>
    <row r="156" spans="1:24" ht="12.75" customHeight="1" hidden="1">
      <c r="A156" s="16"/>
      <c r="B156" s="28" t="s">
        <v>159</v>
      </c>
      <c r="C156" s="29" t="s">
        <v>12</v>
      </c>
      <c r="D156" s="22" t="s">
        <v>14</v>
      </c>
      <c r="E156" s="29"/>
      <c r="F156" s="21"/>
      <c r="G156" s="39" t="s">
        <v>162</v>
      </c>
      <c r="H156" s="19">
        <f>SUM(H157+H158+H162+H164+H169+H173+H176+H185+H187+H189+H198+H201+H206+H209+H210+H211+H216+H219+H220+H221+H222+H223+H225)</f>
        <v>0</v>
      </c>
      <c r="I156" s="34">
        <f aca="true" t="shared" si="49" ref="I156:U156">SUM(I157+I158+I162+I164+I169+I173+I176+I185+I187+I189+I198+I201+I206+I209+I210+I211+I216+I219+I220+I221+I222+I223+I225)</f>
        <v>0</v>
      </c>
      <c r="J156" s="34">
        <f t="shared" si="49"/>
        <v>0</v>
      </c>
      <c r="K156" s="34">
        <f t="shared" si="49"/>
        <v>0</v>
      </c>
      <c r="L156" s="34">
        <f t="shared" si="49"/>
        <v>0</v>
      </c>
      <c r="M156" s="34">
        <f t="shared" si="49"/>
        <v>0</v>
      </c>
      <c r="N156" s="34">
        <f t="shared" si="49"/>
        <v>0</v>
      </c>
      <c r="O156" s="34">
        <f t="shared" si="49"/>
        <v>0</v>
      </c>
      <c r="P156" s="34">
        <f t="shared" si="49"/>
        <v>0</v>
      </c>
      <c r="Q156" s="34">
        <f t="shared" si="49"/>
        <v>0</v>
      </c>
      <c r="R156" s="34">
        <f t="shared" si="49"/>
        <v>0</v>
      </c>
      <c r="S156" s="34">
        <f t="shared" si="49"/>
        <v>0</v>
      </c>
      <c r="T156" s="34">
        <f t="shared" si="49"/>
        <v>0</v>
      </c>
      <c r="U156" s="34">
        <f t="shared" si="49"/>
        <v>0</v>
      </c>
      <c r="V156" s="19">
        <f t="shared" si="48"/>
        <v>0</v>
      </c>
      <c r="W156" s="34">
        <f>SUM(W157+W158+W162+W164+W169+W173+W176+W185+W187+W189+W198+W201+W206+W209+W210+W211+W216+W219+W220+W221+W222+W223+W225)</f>
        <v>0</v>
      </c>
      <c r="X156" s="65" t="e">
        <f aca="true" t="shared" si="50" ref="X156:X218">SUM(V156/I156)*100</f>
        <v>#DIV/0!</v>
      </c>
    </row>
    <row r="157" spans="1:24" ht="12.75" customHeight="1" hidden="1">
      <c r="A157" s="16"/>
      <c r="B157" s="28"/>
      <c r="C157" s="29"/>
      <c r="D157" s="22"/>
      <c r="E157" s="29" t="s">
        <v>14</v>
      </c>
      <c r="F157" s="21"/>
      <c r="G157" s="39" t="s">
        <v>163</v>
      </c>
      <c r="H157" s="20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6">
        <f>SUM(I157:T157)</f>
        <v>0</v>
      </c>
      <c r="V157" s="20">
        <f t="shared" si="48"/>
        <v>0</v>
      </c>
      <c r="W157" s="35"/>
      <c r="X157" s="65" t="e">
        <f t="shared" si="50"/>
        <v>#DIV/0!</v>
      </c>
    </row>
    <row r="158" spans="1:24" ht="12.75" customHeight="1" hidden="1">
      <c r="A158" s="16"/>
      <c r="B158" s="28"/>
      <c r="C158" s="29"/>
      <c r="D158" s="22"/>
      <c r="E158" s="29" t="s">
        <v>17</v>
      </c>
      <c r="F158" s="21"/>
      <c r="G158" s="39" t="s">
        <v>164</v>
      </c>
      <c r="H158" s="19">
        <f>SUM(H159:H161)</f>
        <v>0</v>
      </c>
      <c r="I158" s="37">
        <f aca="true" t="shared" si="51" ref="I158:U158">SUM(I159:I161)</f>
        <v>0</v>
      </c>
      <c r="J158" s="37">
        <f t="shared" si="51"/>
        <v>0</v>
      </c>
      <c r="K158" s="37">
        <f t="shared" si="51"/>
        <v>0</v>
      </c>
      <c r="L158" s="37">
        <f t="shared" si="51"/>
        <v>0</v>
      </c>
      <c r="M158" s="37">
        <f t="shared" si="51"/>
        <v>0</v>
      </c>
      <c r="N158" s="37">
        <f t="shared" si="51"/>
        <v>0</v>
      </c>
      <c r="O158" s="37">
        <f t="shared" si="51"/>
        <v>0</v>
      </c>
      <c r="P158" s="37">
        <f t="shared" si="51"/>
        <v>0</v>
      </c>
      <c r="Q158" s="37">
        <f t="shared" si="51"/>
        <v>0</v>
      </c>
      <c r="R158" s="37">
        <f t="shared" si="51"/>
        <v>0</v>
      </c>
      <c r="S158" s="37">
        <f t="shared" si="51"/>
        <v>0</v>
      </c>
      <c r="T158" s="37">
        <f t="shared" si="51"/>
        <v>0</v>
      </c>
      <c r="U158" s="38">
        <f t="shared" si="51"/>
        <v>0</v>
      </c>
      <c r="V158" s="19">
        <f t="shared" si="48"/>
        <v>0</v>
      </c>
      <c r="W158" s="37">
        <f>SUM(W159:W161)</f>
        <v>0</v>
      </c>
      <c r="X158" s="65" t="e">
        <f t="shared" si="50"/>
        <v>#DIV/0!</v>
      </c>
    </row>
    <row r="159" spans="1:24" ht="12.75" customHeight="1" hidden="1">
      <c r="A159" s="16"/>
      <c r="B159" s="28"/>
      <c r="C159" s="29"/>
      <c r="D159" s="22"/>
      <c r="E159" s="29"/>
      <c r="F159" s="21" t="s">
        <v>14</v>
      </c>
      <c r="G159" s="39" t="s">
        <v>165</v>
      </c>
      <c r="H159" s="20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6">
        <f aca="true" t="shared" si="52" ref="U159:U222">SUM(I159:T159)</f>
        <v>0</v>
      </c>
      <c r="V159" s="20">
        <f t="shared" si="48"/>
        <v>0</v>
      </c>
      <c r="W159" s="35"/>
      <c r="X159" s="65" t="e">
        <f t="shared" si="50"/>
        <v>#DIV/0!</v>
      </c>
    </row>
    <row r="160" spans="1:24" ht="22.5" customHeight="1" hidden="1">
      <c r="A160" s="16"/>
      <c r="B160" s="28"/>
      <c r="C160" s="29"/>
      <c r="D160" s="22"/>
      <c r="E160" s="29"/>
      <c r="F160" s="21" t="s">
        <v>17</v>
      </c>
      <c r="G160" s="40" t="s">
        <v>166</v>
      </c>
      <c r="H160" s="20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6">
        <f t="shared" si="52"/>
        <v>0</v>
      </c>
      <c r="V160" s="20">
        <f t="shared" si="48"/>
        <v>0</v>
      </c>
      <c r="W160" s="35"/>
      <c r="X160" s="65" t="e">
        <f t="shared" si="50"/>
        <v>#DIV/0!</v>
      </c>
    </row>
    <row r="161" spans="1:24" ht="12.75" customHeight="1" hidden="1">
      <c r="A161" s="16"/>
      <c r="B161" s="28"/>
      <c r="C161" s="29"/>
      <c r="D161" s="22"/>
      <c r="E161" s="29"/>
      <c r="F161" s="21" t="s">
        <v>22</v>
      </c>
      <c r="G161" s="39" t="s">
        <v>167</v>
      </c>
      <c r="H161" s="20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6">
        <f t="shared" si="52"/>
        <v>0</v>
      </c>
      <c r="V161" s="20">
        <f t="shared" si="48"/>
        <v>0</v>
      </c>
      <c r="W161" s="35"/>
      <c r="X161" s="65" t="e">
        <f t="shared" si="50"/>
        <v>#DIV/0!</v>
      </c>
    </row>
    <row r="162" spans="1:24" ht="12.75" customHeight="1" hidden="1">
      <c r="A162" s="16"/>
      <c r="B162" s="28"/>
      <c r="C162" s="29"/>
      <c r="D162" s="22"/>
      <c r="E162" s="29" t="s">
        <v>22</v>
      </c>
      <c r="F162" s="21"/>
      <c r="G162" s="39" t="s">
        <v>168</v>
      </c>
      <c r="H162" s="19">
        <f aca="true" t="shared" si="53" ref="H162:W162">SUM(H163)</f>
        <v>0</v>
      </c>
      <c r="I162" s="37">
        <f t="shared" si="53"/>
        <v>0</v>
      </c>
      <c r="J162" s="37">
        <f t="shared" si="53"/>
        <v>0</v>
      </c>
      <c r="K162" s="37">
        <f t="shared" si="53"/>
        <v>0</v>
      </c>
      <c r="L162" s="37">
        <f t="shared" si="53"/>
        <v>0</v>
      </c>
      <c r="M162" s="37">
        <f t="shared" si="53"/>
        <v>0</v>
      </c>
      <c r="N162" s="37">
        <f t="shared" si="53"/>
        <v>0</v>
      </c>
      <c r="O162" s="37">
        <f t="shared" si="53"/>
        <v>0</v>
      </c>
      <c r="P162" s="37">
        <f t="shared" si="53"/>
        <v>0</v>
      </c>
      <c r="Q162" s="37">
        <f t="shared" si="53"/>
        <v>0</v>
      </c>
      <c r="R162" s="37">
        <f t="shared" si="53"/>
        <v>0</v>
      </c>
      <c r="S162" s="37">
        <f t="shared" si="53"/>
        <v>0</v>
      </c>
      <c r="T162" s="37">
        <f t="shared" si="53"/>
        <v>0</v>
      </c>
      <c r="U162" s="38">
        <f t="shared" si="53"/>
        <v>0</v>
      </c>
      <c r="V162" s="19">
        <f t="shared" si="48"/>
        <v>0</v>
      </c>
      <c r="W162" s="37">
        <f t="shared" si="53"/>
        <v>0</v>
      </c>
      <c r="X162" s="65" t="e">
        <f t="shared" si="50"/>
        <v>#DIV/0!</v>
      </c>
    </row>
    <row r="163" spans="1:24" ht="12.75" customHeight="1" hidden="1">
      <c r="A163" s="16"/>
      <c r="B163" s="28"/>
      <c r="C163" s="29"/>
      <c r="D163" s="22"/>
      <c r="E163" s="29"/>
      <c r="F163" s="21" t="s">
        <v>14</v>
      </c>
      <c r="G163" s="39" t="s">
        <v>169</v>
      </c>
      <c r="H163" s="20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6">
        <f t="shared" si="52"/>
        <v>0</v>
      </c>
      <c r="V163" s="20">
        <f t="shared" si="48"/>
        <v>0</v>
      </c>
      <c r="W163" s="35"/>
      <c r="X163" s="65" t="e">
        <f t="shared" si="50"/>
        <v>#DIV/0!</v>
      </c>
    </row>
    <row r="164" spans="1:24" ht="12.75" customHeight="1" hidden="1">
      <c r="A164" s="16"/>
      <c r="B164" s="28"/>
      <c r="C164" s="29"/>
      <c r="D164" s="22"/>
      <c r="E164" s="29" t="s">
        <v>28</v>
      </c>
      <c r="F164" s="21"/>
      <c r="G164" s="39" t="s">
        <v>170</v>
      </c>
      <c r="H164" s="19">
        <f>SUM(H165:H168)</f>
        <v>0</v>
      </c>
      <c r="I164" s="37">
        <f aca="true" t="shared" si="54" ref="I164:U164">SUM(I165:I168)</f>
        <v>0</v>
      </c>
      <c r="J164" s="37">
        <f t="shared" si="54"/>
        <v>0</v>
      </c>
      <c r="K164" s="37">
        <f t="shared" si="54"/>
        <v>0</v>
      </c>
      <c r="L164" s="37">
        <f t="shared" si="54"/>
        <v>0</v>
      </c>
      <c r="M164" s="37">
        <f t="shared" si="54"/>
        <v>0</v>
      </c>
      <c r="N164" s="37">
        <f t="shared" si="54"/>
        <v>0</v>
      </c>
      <c r="O164" s="37">
        <f t="shared" si="54"/>
        <v>0</v>
      </c>
      <c r="P164" s="37">
        <f t="shared" si="54"/>
        <v>0</v>
      </c>
      <c r="Q164" s="37">
        <f t="shared" si="54"/>
        <v>0</v>
      </c>
      <c r="R164" s="37">
        <f t="shared" si="54"/>
        <v>0</v>
      </c>
      <c r="S164" s="37">
        <f t="shared" si="54"/>
        <v>0</v>
      </c>
      <c r="T164" s="37">
        <f t="shared" si="54"/>
        <v>0</v>
      </c>
      <c r="U164" s="38">
        <f t="shared" si="54"/>
        <v>0</v>
      </c>
      <c r="V164" s="19">
        <f t="shared" si="48"/>
        <v>0</v>
      </c>
      <c r="W164" s="37">
        <f>SUM(W165:W168)</f>
        <v>0</v>
      </c>
      <c r="X164" s="65" t="e">
        <f t="shared" si="50"/>
        <v>#DIV/0!</v>
      </c>
    </row>
    <row r="165" spans="1:24" ht="12.75" customHeight="1" hidden="1">
      <c r="A165" s="16"/>
      <c r="B165" s="28"/>
      <c r="C165" s="29"/>
      <c r="D165" s="22"/>
      <c r="E165" s="29"/>
      <c r="F165" s="21" t="s">
        <v>14</v>
      </c>
      <c r="G165" s="39" t="s">
        <v>171</v>
      </c>
      <c r="H165" s="20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6">
        <f t="shared" si="52"/>
        <v>0</v>
      </c>
      <c r="V165" s="20">
        <f t="shared" si="48"/>
        <v>0</v>
      </c>
      <c r="W165" s="35"/>
      <c r="X165" s="65" t="e">
        <f t="shared" si="50"/>
        <v>#DIV/0!</v>
      </c>
    </row>
    <row r="166" spans="1:24" ht="12.75" customHeight="1" hidden="1">
      <c r="A166" s="16"/>
      <c r="B166" s="28"/>
      <c r="C166" s="29"/>
      <c r="D166" s="22"/>
      <c r="E166" s="29"/>
      <c r="F166" s="21" t="s">
        <v>17</v>
      </c>
      <c r="G166" s="39" t="s">
        <v>172</v>
      </c>
      <c r="H166" s="20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6">
        <f t="shared" si="52"/>
        <v>0</v>
      </c>
      <c r="V166" s="20">
        <f t="shared" si="48"/>
        <v>0</v>
      </c>
      <c r="W166" s="35"/>
      <c r="X166" s="65" t="e">
        <f t="shared" si="50"/>
        <v>#DIV/0!</v>
      </c>
    </row>
    <row r="167" spans="1:24" ht="12.75" customHeight="1" hidden="1">
      <c r="A167" s="16"/>
      <c r="B167" s="28"/>
      <c r="C167" s="29"/>
      <c r="D167" s="22"/>
      <c r="E167" s="29"/>
      <c r="F167" s="21" t="s">
        <v>22</v>
      </c>
      <c r="G167" s="39" t="s">
        <v>173</v>
      </c>
      <c r="H167" s="20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>
        <f t="shared" si="52"/>
        <v>0</v>
      </c>
      <c r="V167" s="20">
        <f t="shared" si="48"/>
        <v>0</v>
      </c>
      <c r="W167" s="35"/>
      <c r="X167" s="65" t="e">
        <f t="shared" si="50"/>
        <v>#DIV/0!</v>
      </c>
    </row>
    <row r="168" spans="1:24" ht="12.75" customHeight="1" hidden="1">
      <c r="A168" s="16"/>
      <c r="B168" s="28"/>
      <c r="C168" s="29"/>
      <c r="D168" s="22"/>
      <c r="E168" s="29"/>
      <c r="F168" s="21" t="s">
        <v>28</v>
      </c>
      <c r="G168" s="39" t="s">
        <v>174</v>
      </c>
      <c r="H168" s="20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6">
        <f t="shared" si="52"/>
        <v>0</v>
      </c>
      <c r="V168" s="20">
        <f t="shared" si="48"/>
        <v>0</v>
      </c>
      <c r="W168" s="35"/>
      <c r="X168" s="65" t="e">
        <f t="shared" si="50"/>
        <v>#DIV/0!</v>
      </c>
    </row>
    <row r="169" spans="1:24" ht="12.75" customHeight="1" hidden="1">
      <c r="A169" s="16"/>
      <c r="B169" s="28"/>
      <c r="C169" s="29"/>
      <c r="D169" s="22"/>
      <c r="E169" s="29" t="s">
        <v>61</v>
      </c>
      <c r="F169" s="21"/>
      <c r="G169" s="39" t="s">
        <v>175</v>
      </c>
      <c r="H169" s="19">
        <f>SUM(H170:H172)</f>
        <v>0</v>
      </c>
      <c r="I169" s="37">
        <f aca="true" t="shared" si="55" ref="I169:U169">SUM(I170:I172)</f>
        <v>0</v>
      </c>
      <c r="J169" s="37">
        <f t="shared" si="55"/>
        <v>0</v>
      </c>
      <c r="K169" s="37">
        <f t="shared" si="55"/>
        <v>0</v>
      </c>
      <c r="L169" s="37">
        <f t="shared" si="55"/>
        <v>0</v>
      </c>
      <c r="M169" s="37">
        <f t="shared" si="55"/>
        <v>0</v>
      </c>
      <c r="N169" s="37">
        <f t="shared" si="55"/>
        <v>0</v>
      </c>
      <c r="O169" s="37">
        <f t="shared" si="55"/>
        <v>0</v>
      </c>
      <c r="P169" s="37">
        <f t="shared" si="55"/>
        <v>0</v>
      </c>
      <c r="Q169" s="37">
        <f t="shared" si="55"/>
        <v>0</v>
      </c>
      <c r="R169" s="37">
        <f t="shared" si="55"/>
        <v>0</v>
      </c>
      <c r="S169" s="37">
        <f t="shared" si="55"/>
        <v>0</v>
      </c>
      <c r="T169" s="37">
        <f t="shared" si="55"/>
        <v>0</v>
      </c>
      <c r="U169" s="38">
        <f t="shared" si="55"/>
        <v>0</v>
      </c>
      <c r="V169" s="19">
        <f t="shared" si="48"/>
        <v>0</v>
      </c>
      <c r="W169" s="37">
        <f>SUM(W170:W172)</f>
        <v>0</v>
      </c>
      <c r="X169" s="65" t="e">
        <f t="shared" si="50"/>
        <v>#DIV/0!</v>
      </c>
    </row>
    <row r="170" spans="1:24" ht="12.75" customHeight="1" hidden="1">
      <c r="A170" s="16"/>
      <c r="B170" s="28"/>
      <c r="C170" s="29"/>
      <c r="D170" s="22"/>
      <c r="E170" s="29"/>
      <c r="F170" s="21" t="s">
        <v>14</v>
      </c>
      <c r="G170" s="39" t="s">
        <v>176</v>
      </c>
      <c r="H170" s="20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6">
        <f t="shared" si="52"/>
        <v>0</v>
      </c>
      <c r="V170" s="20">
        <f t="shared" si="48"/>
        <v>0</v>
      </c>
      <c r="W170" s="35"/>
      <c r="X170" s="65" t="e">
        <f t="shared" si="50"/>
        <v>#DIV/0!</v>
      </c>
    </row>
    <row r="171" spans="1:24" ht="12.75" customHeight="1" hidden="1">
      <c r="A171" s="16"/>
      <c r="B171" s="28"/>
      <c r="C171" s="29"/>
      <c r="D171" s="22"/>
      <c r="E171" s="29"/>
      <c r="F171" s="21" t="s">
        <v>17</v>
      </c>
      <c r="G171" s="39" t="s">
        <v>177</v>
      </c>
      <c r="H171" s="20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6">
        <f t="shared" si="52"/>
        <v>0</v>
      </c>
      <c r="V171" s="20">
        <f t="shared" si="48"/>
        <v>0</v>
      </c>
      <c r="W171" s="35"/>
      <c r="X171" s="65" t="e">
        <f t="shared" si="50"/>
        <v>#DIV/0!</v>
      </c>
    </row>
    <row r="172" spans="1:24" ht="12.75" customHeight="1" hidden="1">
      <c r="A172" s="16"/>
      <c r="B172" s="28"/>
      <c r="C172" s="29"/>
      <c r="D172" s="22"/>
      <c r="E172" s="29"/>
      <c r="F172" s="21" t="s">
        <v>22</v>
      </c>
      <c r="G172" s="39" t="s">
        <v>178</v>
      </c>
      <c r="H172" s="20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6">
        <f t="shared" si="52"/>
        <v>0</v>
      </c>
      <c r="V172" s="20">
        <f t="shared" si="48"/>
        <v>0</v>
      </c>
      <c r="W172" s="35"/>
      <c r="X172" s="65" t="e">
        <f t="shared" si="50"/>
        <v>#DIV/0!</v>
      </c>
    </row>
    <row r="173" spans="1:24" ht="12.75" customHeight="1" hidden="1">
      <c r="A173" s="16"/>
      <c r="B173" s="28"/>
      <c r="C173" s="29"/>
      <c r="D173" s="22"/>
      <c r="E173" s="29" t="s">
        <v>65</v>
      </c>
      <c r="F173" s="21"/>
      <c r="G173" s="39" t="s">
        <v>179</v>
      </c>
      <c r="H173" s="19">
        <f>SUM(H174:H175)</f>
        <v>0</v>
      </c>
      <c r="I173" s="37">
        <f aca="true" t="shared" si="56" ref="I173:U173">SUM(I174:I175)</f>
        <v>0</v>
      </c>
      <c r="J173" s="37">
        <f t="shared" si="56"/>
        <v>0</v>
      </c>
      <c r="K173" s="37">
        <f t="shared" si="56"/>
        <v>0</v>
      </c>
      <c r="L173" s="37">
        <f t="shared" si="56"/>
        <v>0</v>
      </c>
      <c r="M173" s="37">
        <f t="shared" si="56"/>
        <v>0</v>
      </c>
      <c r="N173" s="37">
        <f t="shared" si="56"/>
        <v>0</v>
      </c>
      <c r="O173" s="37">
        <f t="shared" si="56"/>
        <v>0</v>
      </c>
      <c r="P173" s="37">
        <f t="shared" si="56"/>
        <v>0</v>
      </c>
      <c r="Q173" s="37">
        <f t="shared" si="56"/>
        <v>0</v>
      </c>
      <c r="R173" s="37">
        <f t="shared" si="56"/>
        <v>0</v>
      </c>
      <c r="S173" s="37">
        <f t="shared" si="56"/>
        <v>0</v>
      </c>
      <c r="T173" s="37">
        <f t="shared" si="56"/>
        <v>0</v>
      </c>
      <c r="U173" s="38">
        <f t="shared" si="56"/>
        <v>0</v>
      </c>
      <c r="V173" s="19">
        <f t="shared" si="48"/>
        <v>0</v>
      </c>
      <c r="W173" s="37">
        <f>SUM(W174:W175)</f>
        <v>0</v>
      </c>
      <c r="X173" s="65" t="e">
        <f t="shared" si="50"/>
        <v>#DIV/0!</v>
      </c>
    </row>
    <row r="174" spans="1:24" ht="12.75" customHeight="1" hidden="1">
      <c r="A174" s="16"/>
      <c r="B174" s="28"/>
      <c r="C174" s="29"/>
      <c r="D174" s="22"/>
      <c r="E174" s="29"/>
      <c r="F174" s="21" t="s">
        <v>14</v>
      </c>
      <c r="G174" s="39" t="s">
        <v>180</v>
      </c>
      <c r="H174" s="20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6">
        <f t="shared" si="52"/>
        <v>0</v>
      </c>
      <c r="V174" s="20">
        <f t="shared" si="48"/>
        <v>0</v>
      </c>
      <c r="W174" s="35"/>
      <c r="X174" s="65" t="e">
        <f t="shared" si="50"/>
        <v>#DIV/0!</v>
      </c>
    </row>
    <row r="175" spans="1:24" ht="12.75" customHeight="1" hidden="1">
      <c r="A175" s="16"/>
      <c r="B175" s="28"/>
      <c r="C175" s="29"/>
      <c r="D175" s="22"/>
      <c r="E175" s="29"/>
      <c r="F175" s="21" t="s">
        <v>17</v>
      </c>
      <c r="G175" s="39" t="s">
        <v>181</v>
      </c>
      <c r="H175" s="20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6">
        <f t="shared" si="52"/>
        <v>0</v>
      </c>
      <c r="V175" s="20">
        <f t="shared" si="48"/>
        <v>0</v>
      </c>
      <c r="W175" s="35"/>
      <c r="X175" s="65" t="e">
        <f t="shared" si="50"/>
        <v>#DIV/0!</v>
      </c>
    </row>
    <row r="176" spans="1:24" ht="12.75" customHeight="1" hidden="1">
      <c r="A176" s="16"/>
      <c r="B176" s="28"/>
      <c r="C176" s="29"/>
      <c r="D176" s="22"/>
      <c r="E176" s="29" t="s">
        <v>182</v>
      </c>
      <c r="F176" s="21"/>
      <c r="G176" s="39" t="s">
        <v>183</v>
      </c>
      <c r="H176" s="19">
        <f>SUM(H177:H184)</f>
        <v>0</v>
      </c>
      <c r="I176" s="37">
        <f aca="true" t="shared" si="57" ref="I176:U176">SUM(I177:I184)</f>
        <v>0</v>
      </c>
      <c r="J176" s="37">
        <f t="shared" si="57"/>
        <v>0</v>
      </c>
      <c r="K176" s="37">
        <f t="shared" si="57"/>
        <v>0</v>
      </c>
      <c r="L176" s="37">
        <f t="shared" si="57"/>
        <v>0</v>
      </c>
      <c r="M176" s="37">
        <f t="shared" si="57"/>
        <v>0</v>
      </c>
      <c r="N176" s="37">
        <f t="shared" si="57"/>
        <v>0</v>
      </c>
      <c r="O176" s="37">
        <f t="shared" si="57"/>
        <v>0</v>
      </c>
      <c r="P176" s="37">
        <f t="shared" si="57"/>
        <v>0</v>
      </c>
      <c r="Q176" s="37">
        <f t="shared" si="57"/>
        <v>0</v>
      </c>
      <c r="R176" s="37">
        <f t="shared" si="57"/>
        <v>0</v>
      </c>
      <c r="S176" s="37">
        <f t="shared" si="57"/>
        <v>0</v>
      </c>
      <c r="T176" s="37">
        <f t="shared" si="57"/>
        <v>0</v>
      </c>
      <c r="U176" s="38">
        <f t="shared" si="57"/>
        <v>0</v>
      </c>
      <c r="V176" s="19">
        <f t="shared" si="48"/>
        <v>0</v>
      </c>
      <c r="W176" s="37">
        <f>SUM(W177:W184)</f>
        <v>0</v>
      </c>
      <c r="X176" s="65" t="e">
        <f t="shared" si="50"/>
        <v>#DIV/0!</v>
      </c>
    </row>
    <row r="177" spans="1:24" ht="12.75" customHeight="1" hidden="1">
      <c r="A177" s="16"/>
      <c r="B177" s="28"/>
      <c r="C177" s="29"/>
      <c r="D177" s="22"/>
      <c r="E177" s="29"/>
      <c r="F177" s="21" t="s">
        <v>14</v>
      </c>
      <c r="G177" s="39" t="s">
        <v>184</v>
      </c>
      <c r="H177" s="20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6">
        <f t="shared" si="52"/>
        <v>0</v>
      </c>
      <c r="V177" s="20">
        <f t="shared" si="48"/>
        <v>0</v>
      </c>
      <c r="W177" s="35"/>
      <c r="X177" s="65" t="e">
        <f t="shared" si="50"/>
        <v>#DIV/0!</v>
      </c>
    </row>
    <row r="178" spans="1:24" ht="12.75" customHeight="1" hidden="1">
      <c r="A178" s="16"/>
      <c r="B178" s="28"/>
      <c r="C178" s="29"/>
      <c r="D178" s="22"/>
      <c r="E178" s="29"/>
      <c r="F178" s="21" t="s">
        <v>17</v>
      </c>
      <c r="G178" s="39" t="s">
        <v>185</v>
      </c>
      <c r="H178" s="20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6">
        <f t="shared" si="52"/>
        <v>0</v>
      </c>
      <c r="V178" s="20">
        <f t="shared" si="48"/>
        <v>0</v>
      </c>
      <c r="W178" s="35"/>
      <c r="X178" s="65" t="e">
        <f t="shared" si="50"/>
        <v>#DIV/0!</v>
      </c>
    </row>
    <row r="179" spans="1:24" ht="12.75" customHeight="1" hidden="1">
      <c r="A179" s="16"/>
      <c r="B179" s="28"/>
      <c r="C179" s="29"/>
      <c r="D179" s="22"/>
      <c r="E179" s="29"/>
      <c r="F179" s="21" t="s">
        <v>22</v>
      </c>
      <c r="G179" s="39" t="s">
        <v>186</v>
      </c>
      <c r="H179" s="20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6">
        <f t="shared" si="52"/>
        <v>0</v>
      </c>
      <c r="V179" s="20">
        <f t="shared" si="48"/>
        <v>0</v>
      </c>
      <c r="W179" s="35"/>
      <c r="X179" s="65" t="e">
        <f t="shared" si="50"/>
        <v>#DIV/0!</v>
      </c>
    </row>
    <row r="180" spans="1:24" ht="22.5" customHeight="1" hidden="1">
      <c r="A180" s="16"/>
      <c r="B180" s="28"/>
      <c r="C180" s="29"/>
      <c r="D180" s="22"/>
      <c r="E180" s="29"/>
      <c r="F180" s="21" t="s">
        <v>28</v>
      </c>
      <c r="G180" s="40" t="s">
        <v>187</v>
      </c>
      <c r="H180" s="20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6">
        <f t="shared" si="52"/>
        <v>0</v>
      </c>
      <c r="V180" s="20">
        <f t="shared" si="48"/>
        <v>0</v>
      </c>
      <c r="W180" s="35"/>
      <c r="X180" s="65" t="e">
        <f t="shared" si="50"/>
        <v>#DIV/0!</v>
      </c>
    </row>
    <row r="181" spans="1:24" ht="12.75" customHeight="1" hidden="1">
      <c r="A181" s="16"/>
      <c r="B181" s="28"/>
      <c r="C181" s="29"/>
      <c r="D181" s="22"/>
      <c r="E181" s="29"/>
      <c r="F181" s="21" t="s">
        <v>54</v>
      </c>
      <c r="G181" s="39" t="s">
        <v>188</v>
      </c>
      <c r="H181" s="20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6">
        <f t="shared" si="52"/>
        <v>0</v>
      </c>
      <c r="V181" s="20">
        <f t="shared" si="48"/>
        <v>0</v>
      </c>
      <c r="W181" s="35"/>
      <c r="X181" s="65" t="e">
        <f t="shared" si="50"/>
        <v>#DIV/0!</v>
      </c>
    </row>
    <row r="182" spans="1:24" ht="12.75" customHeight="1" hidden="1">
      <c r="A182" s="16"/>
      <c r="B182" s="28"/>
      <c r="C182" s="29"/>
      <c r="D182" s="22"/>
      <c r="E182" s="29"/>
      <c r="F182" s="21" t="s">
        <v>57</v>
      </c>
      <c r="G182" s="39" t="s">
        <v>189</v>
      </c>
      <c r="H182" s="20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6">
        <f t="shared" si="52"/>
        <v>0</v>
      </c>
      <c r="V182" s="20">
        <f t="shared" si="48"/>
        <v>0</v>
      </c>
      <c r="W182" s="35"/>
      <c r="X182" s="65" t="e">
        <f t="shared" si="50"/>
        <v>#DIV/0!</v>
      </c>
    </row>
    <row r="183" spans="1:24" ht="12.75" customHeight="1" hidden="1">
      <c r="A183" s="16"/>
      <c r="B183" s="28"/>
      <c r="C183" s="29"/>
      <c r="D183" s="22"/>
      <c r="E183" s="29"/>
      <c r="F183" s="21" t="s">
        <v>61</v>
      </c>
      <c r="G183" s="39" t="s">
        <v>190</v>
      </c>
      <c r="H183" s="20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6">
        <f t="shared" si="52"/>
        <v>0</v>
      </c>
      <c r="V183" s="20">
        <f t="shared" si="48"/>
        <v>0</v>
      </c>
      <c r="W183" s="35"/>
      <c r="X183" s="65" t="e">
        <f t="shared" si="50"/>
        <v>#DIV/0!</v>
      </c>
    </row>
    <row r="184" spans="1:24" ht="12.75" customHeight="1" hidden="1">
      <c r="A184" s="16"/>
      <c r="B184" s="28"/>
      <c r="C184" s="29"/>
      <c r="D184" s="22"/>
      <c r="E184" s="29"/>
      <c r="F184" s="21" t="s">
        <v>30</v>
      </c>
      <c r="G184" s="39" t="s">
        <v>191</v>
      </c>
      <c r="H184" s="20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6">
        <f t="shared" si="52"/>
        <v>0</v>
      </c>
      <c r="V184" s="20">
        <f t="shared" si="48"/>
        <v>0</v>
      </c>
      <c r="W184" s="35"/>
      <c r="X184" s="65" t="e">
        <f t="shared" si="50"/>
        <v>#DIV/0!</v>
      </c>
    </row>
    <row r="185" spans="1:24" ht="12.75" customHeight="1" hidden="1">
      <c r="A185" s="16"/>
      <c r="B185" s="28"/>
      <c r="C185" s="29"/>
      <c r="D185" s="22"/>
      <c r="E185" s="29" t="s">
        <v>192</v>
      </c>
      <c r="F185" s="21"/>
      <c r="G185" s="39" t="s">
        <v>193</v>
      </c>
      <c r="H185" s="19">
        <f aca="true" t="shared" si="58" ref="H185:W185">SUM(H186)</f>
        <v>0</v>
      </c>
      <c r="I185" s="37">
        <f t="shared" si="58"/>
        <v>0</v>
      </c>
      <c r="J185" s="37">
        <f t="shared" si="58"/>
        <v>0</v>
      </c>
      <c r="K185" s="37">
        <f t="shared" si="58"/>
        <v>0</v>
      </c>
      <c r="L185" s="37">
        <f t="shared" si="58"/>
        <v>0</v>
      </c>
      <c r="M185" s="37">
        <f t="shared" si="58"/>
        <v>0</v>
      </c>
      <c r="N185" s="37">
        <f t="shared" si="58"/>
        <v>0</v>
      </c>
      <c r="O185" s="37">
        <f t="shared" si="58"/>
        <v>0</v>
      </c>
      <c r="P185" s="37">
        <f t="shared" si="58"/>
        <v>0</v>
      </c>
      <c r="Q185" s="37">
        <f t="shared" si="58"/>
        <v>0</v>
      </c>
      <c r="R185" s="37">
        <f t="shared" si="58"/>
        <v>0</v>
      </c>
      <c r="S185" s="37">
        <f t="shared" si="58"/>
        <v>0</v>
      </c>
      <c r="T185" s="37">
        <f t="shared" si="58"/>
        <v>0</v>
      </c>
      <c r="U185" s="38">
        <f t="shared" si="58"/>
        <v>0</v>
      </c>
      <c r="V185" s="19">
        <f t="shared" si="48"/>
        <v>0</v>
      </c>
      <c r="W185" s="37">
        <f t="shared" si="58"/>
        <v>0</v>
      </c>
      <c r="X185" s="65" t="e">
        <f t="shared" si="50"/>
        <v>#DIV/0!</v>
      </c>
    </row>
    <row r="186" spans="1:24" ht="12.75" customHeight="1" hidden="1">
      <c r="A186" s="16"/>
      <c r="B186" s="28"/>
      <c r="C186" s="29"/>
      <c r="D186" s="22"/>
      <c r="E186" s="29"/>
      <c r="F186" s="21" t="s">
        <v>14</v>
      </c>
      <c r="G186" s="39" t="s">
        <v>194</v>
      </c>
      <c r="H186" s="20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6">
        <f t="shared" si="52"/>
        <v>0</v>
      </c>
      <c r="V186" s="20">
        <f aca="true" t="shared" si="59" ref="V186:V217">H186-U186</f>
        <v>0</v>
      </c>
      <c r="W186" s="35"/>
      <c r="X186" s="65" t="e">
        <f t="shared" si="50"/>
        <v>#DIV/0!</v>
      </c>
    </row>
    <row r="187" spans="1:24" ht="12.75" customHeight="1" hidden="1">
      <c r="A187" s="16"/>
      <c r="B187" s="28"/>
      <c r="C187" s="29"/>
      <c r="D187" s="22"/>
      <c r="E187" s="29" t="s">
        <v>195</v>
      </c>
      <c r="F187" s="21"/>
      <c r="G187" s="39" t="s">
        <v>196</v>
      </c>
      <c r="H187" s="19">
        <f aca="true" t="shared" si="60" ref="H187:W187">SUM(H188)</f>
        <v>0</v>
      </c>
      <c r="I187" s="37">
        <f t="shared" si="60"/>
        <v>0</v>
      </c>
      <c r="J187" s="37">
        <f t="shared" si="60"/>
        <v>0</v>
      </c>
      <c r="K187" s="37">
        <f t="shared" si="60"/>
        <v>0</v>
      </c>
      <c r="L187" s="37">
        <f t="shared" si="60"/>
        <v>0</v>
      </c>
      <c r="M187" s="37">
        <f t="shared" si="60"/>
        <v>0</v>
      </c>
      <c r="N187" s="37">
        <f t="shared" si="60"/>
        <v>0</v>
      </c>
      <c r="O187" s="37">
        <f t="shared" si="60"/>
        <v>0</v>
      </c>
      <c r="P187" s="37">
        <f t="shared" si="60"/>
        <v>0</v>
      </c>
      <c r="Q187" s="37">
        <f t="shared" si="60"/>
        <v>0</v>
      </c>
      <c r="R187" s="37">
        <f t="shared" si="60"/>
        <v>0</v>
      </c>
      <c r="S187" s="37">
        <f t="shared" si="60"/>
        <v>0</v>
      </c>
      <c r="T187" s="37">
        <f t="shared" si="60"/>
        <v>0</v>
      </c>
      <c r="U187" s="38">
        <f t="shared" si="60"/>
        <v>0</v>
      </c>
      <c r="V187" s="19">
        <f t="shared" si="59"/>
        <v>0</v>
      </c>
      <c r="W187" s="37">
        <f t="shared" si="60"/>
        <v>0</v>
      </c>
      <c r="X187" s="65" t="e">
        <f t="shared" si="50"/>
        <v>#DIV/0!</v>
      </c>
    </row>
    <row r="188" spans="1:24" ht="12.75" customHeight="1" hidden="1">
      <c r="A188" s="16"/>
      <c r="B188" s="28"/>
      <c r="C188" s="29"/>
      <c r="D188" s="22"/>
      <c r="E188" s="29"/>
      <c r="F188" s="21" t="s">
        <v>14</v>
      </c>
      <c r="G188" s="39" t="s">
        <v>197</v>
      </c>
      <c r="H188" s="20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6">
        <f t="shared" si="52"/>
        <v>0</v>
      </c>
      <c r="V188" s="20">
        <f t="shared" si="59"/>
        <v>0</v>
      </c>
      <c r="W188" s="35"/>
      <c r="X188" s="65" t="e">
        <f t="shared" si="50"/>
        <v>#DIV/0!</v>
      </c>
    </row>
    <row r="189" spans="1:24" ht="12.75" customHeight="1" hidden="1">
      <c r="A189" s="16"/>
      <c r="B189" s="28"/>
      <c r="C189" s="29"/>
      <c r="D189" s="22"/>
      <c r="E189" s="29" t="s">
        <v>198</v>
      </c>
      <c r="F189" s="21"/>
      <c r="G189" s="39" t="s">
        <v>199</v>
      </c>
      <c r="H189" s="19">
        <f>SUM(H190:H197)</f>
        <v>0</v>
      </c>
      <c r="I189" s="37">
        <f aca="true" t="shared" si="61" ref="I189:U189">SUM(I190:I197)</f>
        <v>0</v>
      </c>
      <c r="J189" s="37">
        <f t="shared" si="61"/>
        <v>0</v>
      </c>
      <c r="K189" s="37">
        <f t="shared" si="61"/>
        <v>0</v>
      </c>
      <c r="L189" s="37">
        <f t="shared" si="61"/>
        <v>0</v>
      </c>
      <c r="M189" s="37">
        <f t="shared" si="61"/>
        <v>0</v>
      </c>
      <c r="N189" s="37">
        <f t="shared" si="61"/>
        <v>0</v>
      </c>
      <c r="O189" s="37">
        <f t="shared" si="61"/>
        <v>0</v>
      </c>
      <c r="P189" s="37">
        <f t="shared" si="61"/>
        <v>0</v>
      </c>
      <c r="Q189" s="37">
        <f t="shared" si="61"/>
        <v>0</v>
      </c>
      <c r="R189" s="37">
        <f t="shared" si="61"/>
        <v>0</v>
      </c>
      <c r="S189" s="37">
        <f t="shared" si="61"/>
        <v>0</v>
      </c>
      <c r="T189" s="37">
        <f t="shared" si="61"/>
        <v>0</v>
      </c>
      <c r="U189" s="38">
        <f t="shared" si="61"/>
        <v>0</v>
      </c>
      <c r="V189" s="19">
        <f t="shared" si="59"/>
        <v>0</v>
      </c>
      <c r="W189" s="37">
        <f>SUM(W190:W197)</f>
        <v>0</v>
      </c>
      <c r="X189" s="65" t="e">
        <f t="shared" si="50"/>
        <v>#DIV/0!</v>
      </c>
    </row>
    <row r="190" spans="1:24" ht="12.75" customHeight="1" hidden="1">
      <c r="A190" s="16"/>
      <c r="B190" s="28"/>
      <c r="C190" s="29"/>
      <c r="D190" s="22"/>
      <c r="E190" s="29"/>
      <c r="F190" s="21" t="s">
        <v>14</v>
      </c>
      <c r="G190" s="39" t="s">
        <v>200</v>
      </c>
      <c r="H190" s="20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6">
        <f t="shared" si="52"/>
        <v>0</v>
      </c>
      <c r="V190" s="20">
        <f t="shared" si="59"/>
        <v>0</v>
      </c>
      <c r="W190" s="35"/>
      <c r="X190" s="65" t="e">
        <f t="shared" si="50"/>
        <v>#DIV/0!</v>
      </c>
    </row>
    <row r="191" spans="1:24" ht="12.75" customHeight="1" hidden="1">
      <c r="A191" s="16"/>
      <c r="B191" s="28"/>
      <c r="C191" s="29"/>
      <c r="D191" s="22"/>
      <c r="E191" s="29"/>
      <c r="F191" s="21" t="s">
        <v>17</v>
      </c>
      <c r="G191" s="39" t="s">
        <v>201</v>
      </c>
      <c r="H191" s="20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6">
        <f t="shared" si="52"/>
        <v>0</v>
      </c>
      <c r="V191" s="20">
        <f t="shared" si="59"/>
        <v>0</v>
      </c>
      <c r="W191" s="35"/>
      <c r="X191" s="65" t="e">
        <f t="shared" si="50"/>
        <v>#DIV/0!</v>
      </c>
    </row>
    <row r="192" spans="1:24" ht="12.75" customHeight="1" hidden="1">
      <c r="A192" s="16"/>
      <c r="B192" s="28"/>
      <c r="C192" s="29"/>
      <c r="D192" s="22"/>
      <c r="E192" s="29"/>
      <c r="F192" s="21" t="s">
        <v>22</v>
      </c>
      <c r="G192" s="39" t="s">
        <v>202</v>
      </c>
      <c r="H192" s="20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6">
        <f t="shared" si="52"/>
        <v>0</v>
      </c>
      <c r="V192" s="20">
        <f t="shared" si="59"/>
        <v>0</v>
      </c>
      <c r="W192" s="35"/>
      <c r="X192" s="65" t="e">
        <f t="shared" si="50"/>
        <v>#DIV/0!</v>
      </c>
    </row>
    <row r="193" spans="1:24" ht="12.75" customHeight="1" hidden="1">
      <c r="A193" s="16"/>
      <c r="B193" s="28"/>
      <c r="C193" s="29"/>
      <c r="D193" s="22"/>
      <c r="E193" s="29"/>
      <c r="F193" s="21" t="s">
        <v>28</v>
      </c>
      <c r="G193" s="39" t="s">
        <v>203</v>
      </c>
      <c r="H193" s="20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6">
        <f t="shared" si="52"/>
        <v>0</v>
      </c>
      <c r="V193" s="20">
        <f t="shared" si="59"/>
        <v>0</v>
      </c>
      <c r="W193" s="35"/>
      <c r="X193" s="65" t="e">
        <f t="shared" si="50"/>
        <v>#DIV/0!</v>
      </c>
    </row>
    <row r="194" spans="1:24" ht="12.75" customHeight="1" hidden="1">
      <c r="A194" s="16"/>
      <c r="B194" s="28"/>
      <c r="C194" s="29"/>
      <c r="D194" s="22"/>
      <c r="E194" s="29"/>
      <c r="F194" s="21" t="s">
        <v>54</v>
      </c>
      <c r="G194" s="39" t="s">
        <v>204</v>
      </c>
      <c r="H194" s="20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6">
        <f t="shared" si="52"/>
        <v>0</v>
      </c>
      <c r="V194" s="20">
        <f t="shared" si="59"/>
        <v>0</v>
      </c>
      <c r="W194" s="35"/>
      <c r="X194" s="65" t="e">
        <f t="shared" si="50"/>
        <v>#DIV/0!</v>
      </c>
    </row>
    <row r="195" spans="1:24" ht="12.75" customHeight="1" hidden="1">
      <c r="A195" s="16"/>
      <c r="B195" s="28"/>
      <c r="C195" s="29"/>
      <c r="D195" s="22"/>
      <c r="E195" s="29"/>
      <c r="F195" s="21" t="s">
        <v>57</v>
      </c>
      <c r="G195" s="39" t="s">
        <v>205</v>
      </c>
      <c r="H195" s="20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6">
        <f t="shared" si="52"/>
        <v>0</v>
      </c>
      <c r="V195" s="20">
        <f t="shared" si="59"/>
        <v>0</v>
      </c>
      <c r="W195" s="35"/>
      <c r="X195" s="65" t="e">
        <f t="shared" si="50"/>
        <v>#DIV/0!</v>
      </c>
    </row>
    <row r="196" spans="1:24" ht="12.75" customHeight="1" hidden="1">
      <c r="A196" s="16"/>
      <c r="B196" s="28"/>
      <c r="C196" s="29"/>
      <c r="D196" s="22"/>
      <c r="E196" s="29"/>
      <c r="F196" s="21" t="s">
        <v>61</v>
      </c>
      <c r="G196" s="39" t="s">
        <v>206</v>
      </c>
      <c r="H196" s="20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6">
        <f t="shared" si="52"/>
        <v>0</v>
      </c>
      <c r="V196" s="20">
        <f t="shared" si="59"/>
        <v>0</v>
      </c>
      <c r="W196" s="35"/>
      <c r="X196" s="65" t="e">
        <f t="shared" si="50"/>
        <v>#DIV/0!</v>
      </c>
    </row>
    <row r="197" spans="1:24" ht="12.75" customHeight="1" hidden="1">
      <c r="A197" s="16"/>
      <c r="B197" s="28"/>
      <c r="C197" s="29"/>
      <c r="D197" s="22"/>
      <c r="E197" s="29"/>
      <c r="F197" s="21" t="s">
        <v>30</v>
      </c>
      <c r="G197" s="39" t="s">
        <v>207</v>
      </c>
      <c r="H197" s="20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6">
        <f t="shared" si="52"/>
        <v>0</v>
      </c>
      <c r="V197" s="20">
        <f t="shared" si="59"/>
        <v>0</v>
      </c>
      <c r="W197" s="35"/>
      <c r="X197" s="65" t="e">
        <f t="shared" si="50"/>
        <v>#DIV/0!</v>
      </c>
    </row>
    <row r="198" spans="1:24" ht="12.75" customHeight="1" hidden="1">
      <c r="A198" s="16"/>
      <c r="B198" s="28"/>
      <c r="C198" s="29"/>
      <c r="D198" s="22"/>
      <c r="E198" s="29" t="s">
        <v>208</v>
      </c>
      <c r="F198" s="21"/>
      <c r="G198" s="39" t="s">
        <v>209</v>
      </c>
      <c r="H198" s="19">
        <f>SUM(H199:H200)</f>
        <v>0</v>
      </c>
      <c r="I198" s="37">
        <f aca="true" t="shared" si="62" ref="I198:U198">SUM(I199:I200)</f>
        <v>0</v>
      </c>
      <c r="J198" s="37">
        <f t="shared" si="62"/>
        <v>0</v>
      </c>
      <c r="K198" s="37">
        <f t="shared" si="62"/>
        <v>0</v>
      </c>
      <c r="L198" s="37">
        <f t="shared" si="62"/>
        <v>0</v>
      </c>
      <c r="M198" s="37">
        <f t="shared" si="62"/>
        <v>0</v>
      </c>
      <c r="N198" s="37">
        <f t="shared" si="62"/>
        <v>0</v>
      </c>
      <c r="O198" s="37">
        <f t="shared" si="62"/>
        <v>0</v>
      </c>
      <c r="P198" s="37">
        <f t="shared" si="62"/>
        <v>0</v>
      </c>
      <c r="Q198" s="37">
        <f t="shared" si="62"/>
        <v>0</v>
      </c>
      <c r="R198" s="37">
        <f t="shared" si="62"/>
        <v>0</v>
      </c>
      <c r="S198" s="37">
        <f t="shared" si="62"/>
        <v>0</v>
      </c>
      <c r="T198" s="37">
        <f t="shared" si="62"/>
        <v>0</v>
      </c>
      <c r="U198" s="38">
        <f t="shared" si="62"/>
        <v>0</v>
      </c>
      <c r="V198" s="19">
        <f t="shared" si="59"/>
        <v>0</v>
      </c>
      <c r="W198" s="37">
        <f>SUM(W199:W200)</f>
        <v>0</v>
      </c>
      <c r="X198" s="65" t="e">
        <f t="shared" si="50"/>
        <v>#DIV/0!</v>
      </c>
    </row>
    <row r="199" spans="1:24" ht="12.75" customHeight="1" hidden="1">
      <c r="A199" s="16"/>
      <c r="B199" s="28"/>
      <c r="C199" s="29"/>
      <c r="D199" s="22"/>
      <c r="E199" s="29"/>
      <c r="F199" s="21" t="s">
        <v>14</v>
      </c>
      <c r="G199" s="39" t="s">
        <v>210</v>
      </c>
      <c r="H199" s="20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6">
        <f t="shared" si="52"/>
        <v>0</v>
      </c>
      <c r="V199" s="20">
        <f t="shared" si="59"/>
        <v>0</v>
      </c>
      <c r="W199" s="35"/>
      <c r="X199" s="65" t="e">
        <f t="shared" si="50"/>
        <v>#DIV/0!</v>
      </c>
    </row>
    <row r="200" spans="1:24" ht="12.75" customHeight="1" hidden="1">
      <c r="A200" s="16"/>
      <c r="B200" s="28"/>
      <c r="C200" s="29"/>
      <c r="D200" s="22"/>
      <c r="E200" s="29"/>
      <c r="F200" s="21" t="s">
        <v>30</v>
      </c>
      <c r="G200" s="39" t="s">
        <v>211</v>
      </c>
      <c r="H200" s="20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6">
        <f t="shared" si="52"/>
        <v>0</v>
      </c>
      <c r="V200" s="20">
        <f t="shared" si="59"/>
        <v>0</v>
      </c>
      <c r="W200" s="35"/>
      <c r="X200" s="65" t="e">
        <f t="shared" si="50"/>
        <v>#DIV/0!</v>
      </c>
    </row>
    <row r="201" spans="1:24" ht="12.75" customHeight="1" hidden="1">
      <c r="A201" s="16"/>
      <c r="B201" s="28"/>
      <c r="C201" s="29"/>
      <c r="D201" s="22"/>
      <c r="E201" s="29" t="s">
        <v>212</v>
      </c>
      <c r="F201" s="21"/>
      <c r="G201" s="39" t="s">
        <v>213</v>
      </c>
      <c r="H201" s="19">
        <f>SUM(H202:H205)</f>
        <v>0</v>
      </c>
      <c r="I201" s="37">
        <f aca="true" t="shared" si="63" ref="I201:U201">SUM(I202:I205)</f>
        <v>0</v>
      </c>
      <c r="J201" s="37">
        <f t="shared" si="63"/>
        <v>0</v>
      </c>
      <c r="K201" s="37">
        <f t="shared" si="63"/>
        <v>0</v>
      </c>
      <c r="L201" s="37">
        <f t="shared" si="63"/>
        <v>0</v>
      </c>
      <c r="M201" s="37">
        <f t="shared" si="63"/>
        <v>0</v>
      </c>
      <c r="N201" s="37">
        <f t="shared" si="63"/>
        <v>0</v>
      </c>
      <c r="O201" s="37">
        <f t="shared" si="63"/>
        <v>0</v>
      </c>
      <c r="P201" s="37">
        <f t="shared" si="63"/>
        <v>0</v>
      </c>
      <c r="Q201" s="37">
        <f t="shared" si="63"/>
        <v>0</v>
      </c>
      <c r="R201" s="37">
        <f t="shared" si="63"/>
        <v>0</v>
      </c>
      <c r="S201" s="37">
        <f t="shared" si="63"/>
        <v>0</v>
      </c>
      <c r="T201" s="37">
        <f t="shared" si="63"/>
        <v>0</v>
      </c>
      <c r="U201" s="38">
        <f t="shared" si="63"/>
        <v>0</v>
      </c>
      <c r="V201" s="19">
        <f t="shared" si="59"/>
        <v>0</v>
      </c>
      <c r="W201" s="37">
        <f>SUM(W202:W205)</f>
        <v>0</v>
      </c>
      <c r="X201" s="65" t="e">
        <f t="shared" si="50"/>
        <v>#DIV/0!</v>
      </c>
    </row>
    <row r="202" spans="1:24" ht="12.75" customHeight="1" hidden="1">
      <c r="A202" s="16"/>
      <c r="B202" s="28"/>
      <c r="C202" s="29"/>
      <c r="D202" s="22"/>
      <c r="E202" s="29"/>
      <c r="F202" s="21" t="s">
        <v>14</v>
      </c>
      <c r="G202" s="39" t="s">
        <v>214</v>
      </c>
      <c r="H202" s="20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6">
        <f t="shared" si="52"/>
        <v>0</v>
      </c>
      <c r="V202" s="20">
        <f t="shared" si="59"/>
        <v>0</v>
      </c>
      <c r="W202" s="35"/>
      <c r="X202" s="65" t="e">
        <f t="shared" si="50"/>
        <v>#DIV/0!</v>
      </c>
    </row>
    <row r="203" spans="1:24" ht="12.75" customHeight="1" hidden="1">
      <c r="A203" s="16"/>
      <c r="B203" s="28"/>
      <c r="C203" s="29"/>
      <c r="D203" s="22"/>
      <c r="E203" s="29"/>
      <c r="F203" s="21" t="s">
        <v>17</v>
      </c>
      <c r="G203" s="39" t="s">
        <v>215</v>
      </c>
      <c r="H203" s="20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6">
        <f t="shared" si="52"/>
        <v>0</v>
      </c>
      <c r="V203" s="20">
        <f t="shared" si="59"/>
        <v>0</v>
      </c>
      <c r="W203" s="35"/>
      <c r="X203" s="65" t="e">
        <f t="shared" si="50"/>
        <v>#DIV/0!</v>
      </c>
    </row>
    <row r="204" spans="1:24" ht="12.75" customHeight="1" hidden="1">
      <c r="A204" s="16"/>
      <c r="B204" s="28"/>
      <c r="C204" s="29"/>
      <c r="D204" s="22"/>
      <c r="E204" s="29"/>
      <c r="F204" s="21" t="s">
        <v>22</v>
      </c>
      <c r="G204" s="39" t="s">
        <v>216</v>
      </c>
      <c r="H204" s="20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6">
        <f t="shared" si="52"/>
        <v>0</v>
      </c>
      <c r="V204" s="20">
        <f t="shared" si="59"/>
        <v>0</v>
      </c>
      <c r="W204" s="35"/>
      <c r="X204" s="65" t="e">
        <f t="shared" si="50"/>
        <v>#DIV/0!</v>
      </c>
    </row>
    <row r="205" spans="1:24" ht="12.75" customHeight="1" hidden="1">
      <c r="A205" s="16"/>
      <c r="B205" s="28"/>
      <c r="C205" s="29"/>
      <c r="D205" s="22"/>
      <c r="E205" s="29"/>
      <c r="F205" s="21" t="s">
        <v>28</v>
      </c>
      <c r="G205" s="39" t="s">
        <v>217</v>
      </c>
      <c r="H205" s="20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6">
        <f t="shared" si="52"/>
        <v>0</v>
      </c>
      <c r="V205" s="20">
        <f t="shared" si="59"/>
        <v>0</v>
      </c>
      <c r="W205" s="35"/>
      <c r="X205" s="65" t="e">
        <f t="shared" si="50"/>
        <v>#DIV/0!</v>
      </c>
    </row>
    <row r="206" spans="1:24" ht="12.75" customHeight="1" hidden="1">
      <c r="A206" s="16"/>
      <c r="B206" s="28"/>
      <c r="C206" s="29"/>
      <c r="D206" s="22"/>
      <c r="E206" s="29" t="s">
        <v>218</v>
      </c>
      <c r="F206" s="21"/>
      <c r="G206" s="39" t="s">
        <v>219</v>
      </c>
      <c r="H206" s="19">
        <f>SUM(H207:H208)</f>
        <v>0</v>
      </c>
      <c r="I206" s="37">
        <f aca="true" t="shared" si="64" ref="I206:U206">SUM(I207:I208)</f>
        <v>0</v>
      </c>
      <c r="J206" s="37">
        <f t="shared" si="64"/>
        <v>0</v>
      </c>
      <c r="K206" s="37">
        <f t="shared" si="64"/>
        <v>0</v>
      </c>
      <c r="L206" s="37">
        <f t="shared" si="64"/>
        <v>0</v>
      </c>
      <c r="M206" s="37">
        <f t="shared" si="64"/>
        <v>0</v>
      </c>
      <c r="N206" s="37">
        <f t="shared" si="64"/>
        <v>0</v>
      </c>
      <c r="O206" s="37">
        <f t="shared" si="64"/>
        <v>0</v>
      </c>
      <c r="P206" s="37">
        <f t="shared" si="64"/>
        <v>0</v>
      </c>
      <c r="Q206" s="37">
        <f t="shared" si="64"/>
        <v>0</v>
      </c>
      <c r="R206" s="37">
        <f t="shared" si="64"/>
        <v>0</v>
      </c>
      <c r="S206" s="37">
        <f t="shared" si="64"/>
        <v>0</v>
      </c>
      <c r="T206" s="37">
        <f t="shared" si="64"/>
        <v>0</v>
      </c>
      <c r="U206" s="38">
        <f t="shared" si="64"/>
        <v>0</v>
      </c>
      <c r="V206" s="19">
        <f t="shared" si="59"/>
        <v>0</v>
      </c>
      <c r="W206" s="37">
        <f>SUM(W207:W208)</f>
        <v>0</v>
      </c>
      <c r="X206" s="65" t="e">
        <f t="shared" si="50"/>
        <v>#DIV/0!</v>
      </c>
    </row>
    <row r="207" spans="1:24" ht="22.5" customHeight="1" hidden="1">
      <c r="A207" s="16"/>
      <c r="B207" s="28"/>
      <c r="C207" s="29"/>
      <c r="D207" s="22"/>
      <c r="E207" s="29"/>
      <c r="F207" s="21" t="s">
        <v>14</v>
      </c>
      <c r="G207" s="40" t="s">
        <v>220</v>
      </c>
      <c r="H207" s="20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6">
        <f t="shared" si="52"/>
        <v>0</v>
      </c>
      <c r="V207" s="20">
        <f t="shared" si="59"/>
        <v>0</v>
      </c>
      <c r="W207" s="35"/>
      <c r="X207" s="65" t="e">
        <f t="shared" si="50"/>
        <v>#DIV/0!</v>
      </c>
    </row>
    <row r="208" spans="1:24" ht="22.5" customHeight="1" hidden="1">
      <c r="A208" s="16"/>
      <c r="B208" s="28"/>
      <c r="C208" s="29"/>
      <c r="D208" s="22"/>
      <c r="E208" s="29"/>
      <c r="F208" s="21" t="s">
        <v>17</v>
      </c>
      <c r="G208" s="40" t="s">
        <v>221</v>
      </c>
      <c r="H208" s="20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6">
        <f t="shared" si="52"/>
        <v>0</v>
      </c>
      <c r="V208" s="20">
        <f t="shared" si="59"/>
        <v>0</v>
      </c>
      <c r="W208" s="35"/>
      <c r="X208" s="65" t="e">
        <f t="shared" si="50"/>
        <v>#DIV/0!</v>
      </c>
    </row>
    <row r="209" spans="1:24" ht="12.75" customHeight="1" hidden="1">
      <c r="A209" s="16"/>
      <c r="B209" s="28"/>
      <c r="C209" s="29"/>
      <c r="D209" s="22"/>
      <c r="E209" s="29" t="s">
        <v>222</v>
      </c>
      <c r="F209" s="21"/>
      <c r="G209" s="39" t="s">
        <v>223</v>
      </c>
      <c r="H209" s="20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6">
        <f t="shared" si="52"/>
        <v>0</v>
      </c>
      <c r="V209" s="20">
        <f t="shared" si="59"/>
        <v>0</v>
      </c>
      <c r="W209" s="35"/>
      <c r="X209" s="65" t="e">
        <f t="shared" si="50"/>
        <v>#DIV/0!</v>
      </c>
    </row>
    <row r="210" spans="1:24" ht="12.75" customHeight="1" hidden="1">
      <c r="A210" s="16"/>
      <c r="B210" s="28"/>
      <c r="C210" s="29"/>
      <c r="D210" s="22"/>
      <c r="E210" s="29" t="s">
        <v>224</v>
      </c>
      <c r="F210" s="21"/>
      <c r="G210" s="39" t="s">
        <v>225</v>
      </c>
      <c r="H210" s="20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6">
        <f t="shared" si="52"/>
        <v>0</v>
      </c>
      <c r="V210" s="20">
        <f t="shared" si="59"/>
        <v>0</v>
      </c>
      <c r="W210" s="35"/>
      <c r="X210" s="65" t="e">
        <f t="shared" si="50"/>
        <v>#DIV/0!</v>
      </c>
    </row>
    <row r="211" spans="1:24" ht="12.75" customHeight="1" hidden="1">
      <c r="A211" s="16"/>
      <c r="B211" s="28"/>
      <c r="C211" s="29"/>
      <c r="D211" s="22"/>
      <c r="E211" s="29" t="s">
        <v>226</v>
      </c>
      <c r="F211" s="21"/>
      <c r="G211" s="39" t="s">
        <v>227</v>
      </c>
      <c r="H211" s="19">
        <f>SUM(H212:H215)</f>
        <v>0</v>
      </c>
      <c r="I211" s="37">
        <f aca="true" t="shared" si="65" ref="I211:U211">SUM(I212:I215)</f>
        <v>0</v>
      </c>
      <c r="J211" s="37">
        <f t="shared" si="65"/>
        <v>0</v>
      </c>
      <c r="K211" s="37">
        <f t="shared" si="65"/>
        <v>0</v>
      </c>
      <c r="L211" s="37">
        <f t="shared" si="65"/>
        <v>0</v>
      </c>
      <c r="M211" s="37">
        <f t="shared" si="65"/>
        <v>0</v>
      </c>
      <c r="N211" s="37">
        <f t="shared" si="65"/>
        <v>0</v>
      </c>
      <c r="O211" s="37">
        <f t="shared" si="65"/>
        <v>0</v>
      </c>
      <c r="P211" s="37">
        <f t="shared" si="65"/>
        <v>0</v>
      </c>
      <c r="Q211" s="37">
        <f t="shared" si="65"/>
        <v>0</v>
      </c>
      <c r="R211" s="37">
        <f t="shared" si="65"/>
        <v>0</v>
      </c>
      <c r="S211" s="37">
        <f t="shared" si="65"/>
        <v>0</v>
      </c>
      <c r="T211" s="37">
        <f t="shared" si="65"/>
        <v>0</v>
      </c>
      <c r="U211" s="38">
        <f t="shared" si="65"/>
        <v>0</v>
      </c>
      <c r="V211" s="19">
        <f t="shared" si="59"/>
        <v>0</v>
      </c>
      <c r="W211" s="37">
        <f>SUM(W212:W215)</f>
        <v>0</v>
      </c>
      <c r="X211" s="65" t="e">
        <f t="shared" si="50"/>
        <v>#DIV/0!</v>
      </c>
    </row>
    <row r="212" spans="1:24" ht="22.5" customHeight="1" hidden="1">
      <c r="A212" s="16"/>
      <c r="B212" s="28"/>
      <c r="C212" s="29"/>
      <c r="D212" s="22"/>
      <c r="E212" s="29"/>
      <c r="F212" s="21" t="s">
        <v>14</v>
      </c>
      <c r="G212" s="40" t="s">
        <v>228</v>
      </c>
      <c r="H212" s="20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6">
        <f t="shared" si="52"/>
        <v>0</v>
      </c>
      <c r="V212" s="20">
        <f t="shared" si="59"/>
        <v>0</v>
      </c>
      <c r="W212" s="35"/>
      <c r="X212" s="65" t="e">
        <f t="shared" si="50"/>
        <v>#DIV/0!</v>
      </c>
    </row>
    <row r="213" spans="1:24" ht="22.5" customHeight="1" hidden="1">
      <c r="A213" s="16"/>
      <c r="B213" s="28"/>
      <c r="C213" s="29"/>
      <c r="D213" s="22"/>
      <c r="E213" s="29"/>
      <c r="F213" s="21" t="s">
        <v>17</v>
      </c>
      <c r="G213" s="40" t="s">
        <v>229</v>
      </c>
      <c r="H213" s="20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6">
        <f t="shared" si="52"/>
        <v>0</v>
      </c>
      <c r="V213" s="20">
        <f t="shared" si="59"/>
        <v>0</v>
      </c>
      <c r="W213" s="35"/>
      <c r="X213" s="65" t="e">
        <f t="shared" si="50"/>
        <v>#DIV/0!</v>
      </c>
    </row>
    <row r="214" spans="1:24" ht="12.75" customHeight="1" hidden="1">
      <c r="A214" s="16"/>
      <c r="B214" s="28"/>
      <c r="C214" s="29"/>
      <c r="D214" s="22"/>
      <c r="E214" s="29"/>
      <c r="F214" s="21" t="s">
        <v>22</v>
      </c>
      <c r="G214" s="39" t="s">
        <v>230</v>
      </c>
      <c r="H214" s="20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6">
        <f t="shared" si="52"/>
        <v>0</v>
      </c>
      <c r="V214" s="20">
        <f t="shared" si="59"/>
        <v>0</v>
      </c>
      <c r="W214" s="35"/>
      <c r="X214" s="65" t="e">
        <f t="shared" si="50"/>
        <v>#DIV/0!</v>
      </c>
    </row>
    <row r="215" spans="1:24" ht="12.75" customHeight="1" hidden="1">
      <c r="A215" s="16"/>
      <c r="B215" s="28"/>
      <c r="C215" s="29"/>
      <c r="D215" s="22"/>
      <c r="E215" s="29"/>
      <c r="F215" s="21" t="s">
        <v>28</v>
      </c>
      <c r="G215" s="39" t="s">
        <v>231</v>
      </c>
      <c r="H215" s="20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6">
        <f t="shared" si="52"/>
        <v>0</v>
      </c>
      <c r="V215" s="20">
        <f t="shared" si="59"/>
        <v>0</v>
      </c>
      <c r="W215" s="35"/>
      <c r="X215" s="65" t="e">
        <f t="shared" si="50"/>
        <v>#DIV/0!</v>
      </c>
    </row>
    <row r="216" spans="1:24" ht="12.75" customHeight="1" hidden="1">
      <c r="A216" s="16"/>
      <c r="B216" s="28"/>
      <c r="C216" s="29"/>
      <c r="D216" s="22"/>
      <c r="E216" s="29" t="s">
        <v>232</v>
      </c>
      <c r="F216" s="21"/>
      <c r="G216" s="39" t="s">
        <v>233</v>
      </c>
      <c r="H216" s="19">
        <f>SUM(H217:H218)</f>
        <v>0</v>
      </c>
      <c r="I216" s="37">
        <f aca="true" t="shared" si="66" ref="I216:U216">SUM(I217:I218)</f>
        <v>0</v>
      </c>
      <c r="J216" s="37">
        <f t="shared" si="66"/>
        <v>0</v>
      </c>
      <c r="K216" s="37">
        <f t="shared" si="66"/>
        <v>0</v>
      </c>
      <c r="L216" s="37">
        <f t="shared" si="66"/>
        <v>0</v>
      </c>
      <c r="M216" s="37">
        <f t="shared" si="66"/>
        <v>0</v>
      </c>
      <c r="N216" s="37">
        <f t="shared" si="66"/>
        <v>0</v>
      </c>
      <c r="O216" s="37">
        <f t="shared" si="66"/>
        <v>0</v>
      </c>
      <c r="P216" s="37">
        <f t="shared" si="66"/>
        <v>0</v>
      </c>
      <c r="Q216" s="37">
        <f t="shared" si="66"/>
        <v>0</v>
      </c>
      <c r="R216" s="37">
        <f t="shared" si="66"/>
        <v>0</v>
      </c>
      <c r="S216" s="37">
        <f t="shared" si="66"/>
        <v>0</v>
      </c>
      <c r="T216" s="37">
        <f t="shared" si="66"/>
        <v>0</v>
      </c>
      <c r="U216" s="38">
        <f t="shared" si="66"/>
        <v>0</v>
      </c>
      <c r="V216" s="19">
        <f t="shared" si="59"/>
        <v>0</v>
      </c>
      <c r="W216" s="37">
        <f>SUM(W217:W218)</f>
        <v>0</v>
      </c>
      <c r="X216" s="65" t="e">
        <f t="shared" si="50"/>
        <v>#DIV/0!</v>
      </c>
    </row>
    <row r="217" spans="1:24" ht="12.75" customHeight="1" hidden="1">
      <c r="A217" s="16"/>
      <c r="B217" s="28"/>
      <c r="C217" s="29"/>
      <c r="D217" s="22"/>
      <c r="E217" s="29"/>
      <c r="F217" s="21" t="s">
        <v>14</v>
      </c>
      <c r="G217" s="39" t="s">
        <v>234</v>
      </c>
      <c r="H217" s="20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6">
        <f t="shared" si="52"/>
        <v>0</v>
      </c>
      <c r="V217" s="20">
        <f t="shared" si="59"/>
        <v>0</v>
      </c>
      <c r="W217" s="35"/>
      <c r="X217" s="65" t="e">
        <f t="shared" si="50"/>
        <v>#DIV/0!</v>
      </c>
    </row>
    <row r="218" spans="1:24" ht="12.75" customHeight="1" hidden="1">
      <c r="A218" s="16"/>
      <c r="B218" s="28"/>
      <c r="C218" s="29"/>
      <c r="D218" s="22"/>
      <c r="E218" s="29"/>
      <c r="F218" s="21" t="s">
        <v>17</v>
      </c>
      <c r="G218" s="39" t="s">
        <v>235</v>
      </c>
      <c r="H218" s="20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6">
        <f t="shared" si="52"/>
        <v>0</v>
      </c>
      <c r="V218" s="20">
        <f>H218-U218</f>
        <v>0</v>
      </c>
      <c r="W218" s="35"/>
      <c r="X218" s="65" t="e">
        <f t="shared" si="50"/>
        <v>#DIV/0!</v>
      </c>
    </row>
    <row r="219" spans="1:24" ht="12.75" customHeight="1" hidden="1">
      <c r="A219" s="16"/>
      <c r="B219" s="28"/>
      <c r="C219" s="29"/>
      <c r="D219" s="22"/>
      <c r="E219" s="29" t="s">
        <v>236</v>
      </c>
      <c r="F219" s="21"/>
      <c r="G219" s="39" t="s">
        <v>237</v>
      </c>
      <c r="H219" s="20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6">
        <f t="shared" si="52"/>
        <v>0</v>
      </c>
      <c r="V219" s="20">
        <f>H219-U219</f>
        <v>0</v>
      </c>
      <c r="W219" s="35"/>
      <c r="X219" s="65" t="e">
        <f aca="true" t="shared" si="67" ref="X219:X282">SUM(V219/I219)*100</f>
        <v>#DIV/0!</v>
      </c>
    </row>
    <row r="220" spans="1:24" ht="12.75" customHeight="1" hidden="1">
      <c r="A220" s="16"/>
      <c r="B220" s="28"/>
      <c r="C220" s="29"/>
      <c r="D220" s="22"/>
      <c r="E220" s="29" t="s">
        <v>238</v>
      </c>
      <c r="F220" s="21"/>
      <c r="G220" s="39" t="s">
        <v>239</v>
      </c>
      <c r="H220" s="20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6">
        <f t="shared" si="52"/>
        <v>0</v>
      </c>
      <c r="V220" s="20">
        <f>H220-U220</f>
        <v>0</v>
      </c>
      <c r="W220" s="35"/>
      <c r="X220" s="65" t="e">
        <f t="shared" si="67"/>
        <v>#DIV/0!</v>
      </c>
    </row>
    <row r="221" spans="1:24" ht="12.75" customHeight="1" hidden="1">
      <c r="A221" s="16"/>
      <c r="B221" s="28"/>
      <c r="C221" s="29"/>
      <c r="D221" s="22"/>
      <c r="E221" s="29" t="s">
        <v>240</v>
      </c>
      <c r="F221" s="21"/>
      <c r="G221" s="39" t="s">
        <v>241</v>
      </c>
      <c r="H221" s="20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6">
        <f t="shared" si="52"/>
        <v>0</v>
      </c>
      <c r="V221" s="20"/>
      <c r="W221" s="35"/>
      <c r="X221" s="65" t="e">
        <f t="shared" si="67"/>
        <v>#DIV/0!</v>
      </c>
    </row>
    <row r="222" spans="1:24" ht="12.75" customHeight="1" hidden="1">
      <c r="A222" s="16"/>
      <c r="B222" s="28"/>
      <c r="C222" s="29"/>
      <c r="D222" s="22"/>
      <c r="E222" s="29" t="s">
        <v>242</v>
      </c>
      <c r="F222" s="21"/>
      <c r="G222" s="39" t="s">
        <v>243</v>
      </c>
      <c r="H222" s="20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6">
        <f t="shared" si="52"/>
        <v>0</v>
      </c>
      <c r="V222" s="20">
        <f aca="true" t="shared" si="68" ref="V222:V285">H222-U222</f>
        <v>0</v>
      </c>
      <c r="W222" s="35"/>
      <c r="X222" s="65" t="e">
        <f t="shared" si="67"/>
        <v>#DIV/0!</v>
      </c>
    </row>
    <row r="223" spans="1:24" ht="12.75" customHeight="1" hidden="1">
      <c r="A223" s="16"/>
      <c r="B223" s="28"/>
      <c r="C223" s="29"/>
      <c r="D223" s="22"/>
      <c r="E223" s="29" t="s">
        <v>244</v>
      </c>
      <c r="F223" s="21"/>
      <c r="G223" s="39" t="s">
        <v>245</v>
      </c>
      <c r="H223" s="19">
        <f aca="true" t="shared" si="69" ref="H223:W223">SUM(H224)</f>
        <v>0</v>
      </c>
      <c r="I223" s="37">
        <f t="shared" si="69"/>
        <v>0</v>
      </c>
      <c r="J223" s="37">
        <f t="shared" si="69"/>
        <v>0</v>
      </c>
      <c r="K223" s="37">
        <f t="shared" si="69"/>
        <v>0</v>
      </c>
      <c r="L223" s="37">
        <f t="shared" si="69"/>
        <v>0</v>
      </c>
      <c r="M223" s="37">
        <f t="shared" si="69"/>
        <v>0</v>
      </c>
      <c r="N223" s="37">
        <f t="shared" si="69"/>
        <v>0</v>
      </c>
      <c r="O223" s="37">
        <f t="shared" si="69"/>
        <v>0</v>
      </c>
      <c r="P223" s="37">
        <f t="shared" si="69"/>
        <v>0</v>
      </c>
      <c r="Q223" s="37">
        <f t="shared" si="69"/>
        <v>0</v>
      </c>
      <c r="R223" s="37">
        <f t="shared" si="69"/>
        <v>0</v>
      </c>
      <c r="S223" s="37">
        <f t="shared" si="69"/>
        <v>0</v>
      </c>
      <c r="T223" s="37">
        <f t="shared" si="69"/>
        <v>0</v>
      </c>
      <c r="U223" s="38">
        <f t="shared" si="69"/>
        <v>0</v>
      </c>
      <c r="V223" s="19">
        <f t="shared" si="68"/>
        <v>0</v>
      </c>
      <c r="W223" s="37">
        <f t="shared" si="69"/>
        <v>0</v>
      </c>
      <c r="X223" s="65" t="e">
        <f t="shared" si="67"/>
        <v>#DIV/0!</v>
      </c>
    </row>
    <row r="224" spans="1:24" ht="12.75" customHeight="1" hidden="1">
      <c r="A224" s="16"/>
      <c r="B224" s="28"/>
      <c r="C224" s="29"/>
      <c r="D224" s="22"/>
      <c r="E224" s="29"/>
      <c r="F224" s="22" t="s">
        <v>14</v>
      </c>
      <c r="G224" s="39" t="s">
        <v>246</v>
      </c>
      <c r="H224" s="20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6">
        <f>SUM(I224:T224)</f>
        <v>0</v>
      </c>
      <c r="V224" s="20">
        <f t="shared" si="68"/>
        <v>0</v>
      </c>
      <c r="W224" s="35"/>
      <c r="X224" s="65" t="e">
        <f t="shared" si="67"/>
        <v>#DIV/0!</v>
      </c>
    </row>
    <row r="225" spans="1:24" ht="12.75" customHeight="1" hidden="1">
      <c r="A225" s="16"/>
      <c r="B225" s="28"/>
      <c r="C225" s="29"/>
      <c r="D225" s="22"/>
      <c r="E225" s="29" t="s">
        <v>30</v>
      </c>
      <c r="F225" s="21"/>
      <c r="G225" s="39" t="s">
        <v>247</v>
      </c>
      <c r="H225" s="20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6">
        <f>SUM(I225:T225)</f>
        <v>0</v>
      </c>
      <c r="V225" s="20">
        <f t="shared" si="68"/>
        <v>0</v>
      </c>
      <c r="W225" s="35"/>
      <c r="X225" s="65" t="e">
        <f t="shared" si="67"/>
        <v>#DIV/0!</v>
      </c>
    </row>
    <row r="226" spans="1:24" ht="12.75" customHeight="1" hidden="1">
      <c r="A226" s="16"/>
      <c r="B226" s="28" t="s">
        <v>159</v>
      </c>
      <c r="C226" s="29" t="s">
        <v>12</v>
      </c>
      <c r="D226" s="22" t="s">
        <v>17</v>
      </c>
      <c r="E226" s="29"/>
      <c r="F226" s="21"/>
      <c r="G226" s="39" t="s">
        <v>248</v>
      </c>
      <c r="H226" s="19">
        <f>SUM(H227:H228)</f>
        <v>0</v>
      </c>
      <c r="I226" s="37">
        <f aca="true" t="shared" si="70" ref="I226:U226">SUM(I227:I228)</f>
        <v>0</v>
      </c>
      <c r="J226" s="37">
        <f t="shared" si="70"/>
        <v>0</v>
      </c>
      <c r="K226" s="37">
        <f t="shared" si="70"/>
        <v>0</v>
      </c>
      <c r="L226" s="37">
        <f t="shared" si="70"/>
        <v>0</v>
      </c>
      <c r="M226" s="37">
        <f t="shared" si="70"/>
        <v>0</v>
      </c>
      <c r="N226" s="37">
        <f t="shared" si="70"/>
        <v>0</v>
      </c>
      <c r="O226" s="37">
        <f t="shared" si="70"/>
        <v>0</v>
      </c>
      <c r="P226" s="37">
        <f t="shared" si="70"/>
        <v>0</v>
      </c>
      <c r="Q226" s="37">
        <f t="shared" si="70"/>
        <v>0</v>
      </c>
      <c r="R226" s="37">
        <f t="shared" si="70"/>
        <v>0</v>
      </c>
      <c r="S226" s="37">
        <f t="shared" si="70"/>
        <v>0</v>
      </c>
      <c r="T226" s="37">
        <f t="shared" si="70"/>
        <v>0</v>
      </c>
      <c r="U226" s="38">
        <f t="shared" si="70"/>
        <v>0</v>
      </c>
      <c r="V226" s="19">
        <f t="shared" si="68"/>
        <v>0</v>
      </c>
      <c r="W226" s="37">
        <f>SUM(W227:W228)</f>
        <v>0</v>
      </c>
      <c r="X226" s="65" t="e">
        <f t="shared" si="67"/>
        <v>#DIV/0!</v>
      </c>
    </row>
    <row r="227" spans="1:24" ht="12.75" customHeight="1" hidden="1">
      <c r="A227" s="16"/>
      <c r="B227" s="28"/>
      <c r="C227" s="29"/>
      <c r="D227" s="22"/>
      <c r="E227" s="29" t="s">
        <v>14</v>
      </c>
      <c r="F227" s="21"/>
      <c r="G227" s="39" t="s">
        <v>249</v>
      </c>
      <c r="H227" s="20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6">
        <f>SUM(I227:T227)</f>
        <v>0</v>
      </c>
      <c r="V227" s="20">
        <f t="shared" si="68"/>
        <v>0</v>
      </c>
      <c r="W227" s="35"/>
      <c r="X227" s="65" t="e">
        <f t="shared" si="67"/>
        <v>#DIV/0!</v>
      </c>
    </row>
    <row r="228" spans="1:24" ht="12.75" customHeight="1" hidden="1">
      <c r="A228" s="16"/>
      <c r="B228" s="28"/>
      <c r="C228" s="29"/>
      <c r="D228" s="22"/>
      <c r="E228" s="29" t="s">
        <v>17</v>
      </c>
      <c r="F228" s="21"/>
      <c r="G228" s="39" t="s">
        <v>250</v>
      </c>
      <c r="H228" s="20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6">
        <f>SUM(I228:T228)</f>
        <v>0</v>
      </c>
      <c r="V228" s="20">
        <f t="shared" si="68"/>
        <v>0</v>
      </c>
      <c r="W228" s="35"/>
      <c r="X228" s="65" t="e">
        <f t="shared" si="67"/>
        <v>#DIV/0!</v>
      </c>
    </row>
    <row r="229" spans="1:24" ht="12.75" customHeight="1" hidden="1">
      <c r="A229" s="16"/>
      <c r="B229" s="28" t="s">
        <v>159</v>
      </c>
      <c r="C229" s="29" t="s">
        <v>12</v>
      </c>
      <c r="D229" s="22" t="s">
        <v>22</v>
      </c>
      <c r="E229" s="29"/>
      <c r="F229" s="21"/>
      <c r="G229" s="39" t="s">
        <v>251</v>
      </c>
      <c r="H229" s="19">
        <f>SUM(H230+H233+H237)</f>
        <v>0</v>
      </c>
      <c r="I229" s="37">
        <f aca="true" t="shared" si="71" ref="I229:U229">SUM(I230+I233+I237)</f>
        <v>0</v>
      </c>
      <c r="J229" s="37">
        <f t="shared" si="71"/>
        <v>0</v>
      </c>
      <c r="K229" s="37">
        <f t="shared" si="71"/>
        <v>0</v>
      </c>
      <c r="L229" s="37">
        <f t="shared" si="71"/>
        <v>0</v>
      </c>
      <c r="M229" s="37">
        <f t="shared" si="71"/>
        <v>0</v>
      </c>
      <c r="N229" s="37">
        <f t="shared" si="71"/>
        <v>0</v>
      </c>
      <c r="O229" s="37">
        <f t="shared" si="71"/>
        <v>0</v>
      </c>
      <c r="P229" s="37">
        <f t="shared" si="71"/>
        <v>0</v>
      </c>
      <c r="Q229" s="37">
        <f t="shared" si="71"/>
        <v>0</v>
      </c>
      <c r="R229" s="37">
        <f t="shared" si="71"/>
        <v>0</v>
      </c>
      <c r="S229" s="37">
        <f t="shared" si="71"/>
        <v>0</v>
      </c>
      <c r="T229" s="37">
        <f t="shared" si="71"/>
        <v>0</v>
      </c>
      <c r="U229" s="38">
        <f t="shared" si="71"/>
        <v>0</v>
      </c>
      <c r="V229" s="19">
        <f t="shared" si="68"/>
        <v>0</v>
      </c>
      <c r="W229" s="37">
        <f>SUM(W230+W233+W237)</f>
        <v>0</v>
      </c>
      <c r="X229" s="65" t="e">
        <f t="shared" si="67"/>
        <v>#DIV/0!</v>
      </c>
    </row>
    <row r="230" spans="1:24" ht="12.75" customHeight="1" hidden="1">
      <c r="A230" s="16"/>
      <c r="B230" s="28"/>
      <c r="C230" s="29"/>
      <c r="D230" s="22"/>
      <c r="E230" s="29" t="s">
        <v>14</v>
      </c>
      <c r="F230" s="21"/>
      <c r="G230" s="39" t="s">
        <v>252</v>
      </c>
      <c r="H230" s="19">
        <f>SUM(H231:H232)</f>
        <v>0</v>
      </c>
      <c r="I230" s="37">
        <f aca="true" t="shared" si="72" ref="I230:U230">SUM(I231:I232)</f>
        <v>0</v>
      </c>
      <c r="J230" s="37">
        <f t="shared" si="72"/>
        <v>0</v>
      </c>
      <c r="K230" s="37">
        <f t="shared" si="72"/>
        <v>0</v>
      </c>
      <c r="L230" s="37">
        <f t="shared" si="72"/>
        <v>0</v>
      </c>
      <c r="M230" s="37">
        <f t="shared" si="72"/>
        <v>0</v>
      </c>
      <c r="N230" s="37">
        <f t="shared" si="72"/>
        <v>0</v>
      </c>
      <c r="O230" s="37">
        <f t="shared" si="72"/>
        <v>0</v>
      </c>
      <c r="P230" s="37">
        <f t="shared" si="72"/>
        <v>0</v>
      </c>
      <c r="Q230" s="37">
        <f t="shared" si="72"/>
        <v>0</v>
      </c>
      <c r="R230" s="37">
        <f t="shared" si="72"/>
        <v>0</v>
      </c>
      <c r="S230" s="37">
        <f t="shared" si="72"/>
        <v>0</v>
      </c>
      <c r="T230" s="37">
        <f t="shared" si="72"/>
        <v>0</v>
      </c>
      <c r="U230" s="38">
        <f t="shared" si="72"/>
        <v>0</v>
      </c>
      <c r="V230" s="19">
        <f t="shared" si="68"/>
        <v>0</v>
      </c>
      <c r="W230" s="37">
        <f>SUM(W231:W232)</f>
        <v>0</v>
      </c>
      <c r="X230" s="65" t="e">
        <f t="shared" si="67"/>
        <v>#DIV/0!</v>
      </c>
    </row>
    <row r="231" spans="1:24" ht="22.5" customHeight="1" hidden="1">
      <c r="A231" s="16"/>
      <c r="B231" s="28"/>
      <c r="C231" s="29"/>
      <c r="D231" s="22"/>
      <c r="E231" s="29"/>
      <c r="F231" s="21" t="s">
        <v>14</v>
      </c>
      <c r="G231" s="40" t="s">
        <v>253</v>
      </c>
      <c r="H231" s="20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6">
        <f aca="true" t="shared" si="73" ref="U231:U250">SUM(I231:T231)</f>
        <v>0</v>
      </c>
      <c r="V231" s="20">
        <f t="shared" si="68"/>
        <v>0</v>
      </c>
      <c r="W231" s="35"/>
      <c r="X231" s="65" t="e">
        <f t="shared" si="67"/>
        <v>#DIV/0!</v>
      </c>
    </row>
    <row r="232" spans="1:24" ht="12.75" customHeight="1" hidden="1">
      <c r="A232" s="16"/>
      <c r="B232" s="28"/>
      <c r="C232" s="29"/>
      <c r="D232" s="22"/>
      <c r="E232" s="29"/>
      <c r="F232" s="21" t="s">
        <v>17</v>
      </c>
      <c r="G232" s="39" t="s">
        <v>254</v>
      </c>
      <c r="H232" s="20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6">
        <f t="shared" si="73"/>
        <v>0</v>
      </c>
      <c r="V232" s="20">
        <f t="shared" si="68"/>
        <v>0</v>
      </c>
      <c r="W232" s="35"/>
      <c r="X232" s="65" t="e">
        <f t="shared" si="67"/>
        <v>#DIV/0!</v>
      </c>
    </row>
    <row r="233" spans="1:24" ht="12.75" customHeight="1" hidden="1">
      <c r="A233" s="16"/>
      <c r="B233" s="28"/>
      <c r="C233" s="29"/>
      <c r="D233" s="22"/>
      <c r="E233" s="29" t="s">
        <v>17</v>
      </c>
      <c r="F233" s="21"/>
      <c r="G233" s="39" t="s">
        <v>255</v>
      </c>
      <c r="H233" s="19">
        <f>SUM(H234:H236)</f>
        <v>0</v>
      </c>
      <c r="I233" s="37">
        <f aca="true" t="shared" si="74" ref="I233:U233">SUM(I234:I236)</f>
        <v>0</v>
      </c>
      <c r="J233" s="37">
        <f t="shared" si="74"/>
        <v>0</v>
      </c>
      <c r="K233" s="37">
        <f t="shared" si="74"/>
        <v>0</v>
      </c>
      <c r="L233" s="37">
        <f t="shared" si="74"/>
        <v>0</v>
      </c>
      <c r="M233" s="37">
        <f t="shared" si="74"/>
        <v>0</v>
      </c>
      <c r="N233" s="37">
        <f t="shared" si="74"/>
        <v>0</v>
      </c>
      <c r="O233" s="37">
        <f t="shared" si="74"/>
        <v>0</v>
      </c>
      <c r="P233" s="37">
        <f t="shared" si="74"/>
        <v>0</v>
      </c>
      <c r="Q233" s="37">
        <f t="shared" si="74"/>
        <v>0</v>
      </c>
      <c r="R233" s="37">
        <f t="shared" si="74"/>
        <v>0</v>
      </c>
      <c r="S233" s="37">
        <f t="shared" si="74"/>
        <v>0</v>
      </c>
      <c r="T233" s="37">
        <f t="shared" si="74"/>
        <v>0</v>
      </c>
      <c r="U233" s="38">
        <f t="shared" si="74"/>
        <v>0</v>
      </c>
      <c r="V233" s="19">
        <f t="shared" si="68"/>
        <v>0</v>
      </c>
      <c r="W233" s="37">
        <f>SUM(W234:W236)</f>
        <v>0</v>
      </c>
      <c r="X233" s="65" t="e">
        <f t="shared" si="67"/>
        <v>#DIV/0!</v>
      </c>
    </row>
    <row r="234" spans="1:24" ht="22.5" customHeight="1" hidden="1">
      <c r="A234" s="16"/>
      <c r="B234" s="28"/>
      <c r="C234" s="29"/>
      <c r="D234" s="22"/>
      <c r="E234" s="29"/>
      <c r="F234" s="21" t="s">
        <v>14</v>
      </c>
      <c r="G234" s="40" t="s">
        <v>253</v>
      </c>
      <c r="H234" s="20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6">
        <f t="shared" si="73"/>
        <v>0</v>
      </c>
      <c r="V234" s="20">
        <f t="shared" si="68"/>
        <v>0</v>
      </c>
      <c r="W234" s="35"/>
      <c r="X234" s="65" t="e">
        <f t="shared" si="67"/>
        <v>#DIV/0!</v>
      </c>
    </row>
    <row r="235" spans="1:24" ht="12.75" customHeight="1" hidden="1">
      <c r="A235" s="16"/>
      <c r="B235" s="28"/>
      <c r="C235" s="29"/>
      <c r="D235" s="22"/>
      <c r="E235" s="29"/>
      <c r="F235" s="21" t="s">
        <v>17</v>
      </c>
      <c r="G235" s="39" t="s">
        <v>256</v>
      </c>
      <c r="H235" s="20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6">
        <f t="shared" si="73"/>
        <v>0</v>
      </c>
      <c r="V235" s="20">
        <f t="shared" si="68"/>
        <v>0</v>
      </c>
      <c r="W235" s="35"/>
      <c r="X235" s="65" t="e">
        <f t="shared" si="67"/>
        <v>#DIV/0!</v>
      </c>
    </row>
    <row r="236" spans="1:24" ht="22.5" customHeight="1" hidden="1">
      <c r="A236" s="16"/>
      <c r="B236" s="28"/>
      <c r="C236" s="29"/>
      <c r="D236" s="22"/>
      <c r="E236" s="29"/>
      <c r="F236" s="21" t="s">
        <v>22</v>
      </c>
      <c r="G236" s="40" t="s">
        <v>257</v>
      </c>
      <c r="H236" s="20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6">
        <f t="shared" si="73"/>
        <v>0</v>
      </c>
      <c r="V236" s="20">
        <f t="shared" si="68"/>
        <v>0</v>
      </c>
      <c r="W236" s="35"/>
      <c r="X236" s="65" t="e">
        <f t="shared" si="67"/>
        <v>#DIV/0!</v>
      </c>
    </row>
    <row r="237" spans="1:24" ht="12.75" customHeight="1" hidden="1">
      <c r="A237" s="16"/>
      <c r="B237" s="28"/>
      <c r="C237" s="29"/>
      <c r="D237" s="22"/>
      <c r="E237" s="29" t="s">
        <v>22</v>
      </c>
      <c r="F237" s="21"/>
      <c r="G237" s="39" t="s">
        <v>258</v>
      </c>
      <c r="H237" s="19">
        <f>SUM(H238:H242)</f>
        <v>0</v>
      </c>
      <c r="I237" s="37">
        <f aca="true" t="shared" si="75" ref="I237:U237">SUM(I238:I242)</f>
        <v>0</v>
      </c>
      <c r="J237" s="37">
        <f t="shared" si="75"/>
        <v>0</v>
      </c>
      <c r="K237" s="37">
        <f t="shared" si="75"/>
        <v>0</v>
      </c>
      <c r="L237" s="37">
        <f t="shared" si="75"/>
        <v>0</v>
      </c>
      <c r="M237" s="37">
        <f t="shared" si="75"/>
        <v>0</v>
      </c>
      <c r="N237" s="37">
        <f t="shared" si="75"/>
        <v>0</v>
      </c>
      <c r="O237" s="37">
        <f t="shared" si="75"/>
        <v>0</v>
      </c>
      <c r="P237" s="37">
        <f t="shared" si="75"/>
        <v>0</v>
      </c>
      <c r="Q237" s="37">
        <f t="shared" si="75"/>
        <v>0</v>
      </c>
      <c r="R237" s="37">
        <f t="shared" si="75"/>
        <v>0</v>
      </c>
      <c r="S237" s="37">
        <f t="shared" si="75"/>
        <v>0</v>
      </c>
      <c r="T237" s="37">
        <f t="shared" si="75"/>
        <v>0</v>
      </c>
      <c r="U237" s="38">
        <f t="shared" si="75"/>
        <v>0</v>
      </c>
      <c r="V237" s="19">
        <f t="shared" si="68"/>
        <v>0</v>
      </c>
      <c r="W237" s="37">
        <f>SUM(W238:W242)</f>
        <v>0</v>
      </c>
      <c r="X237" s="65" t="e">
        <f t="shared" si="67"/>
        <v>#DIV/0!</v>
      </c>
    </row>
    <row r="238" spans="1:24" ht="22.5" customHeight="1" hidden="1">
      <c r="A238" s="16"/>
      <c r="B238" s="28"/>
      <c r="C238" s="29"/>
      <c r="D238" s="22"/>
      <c r="E238" s="29"/>
      <c r="F238" s="21" t="s">
        <v>14</v>
      </c>
      <c r="G238" s="40" t="s">
        <v>253</v>
      </c>
      <c r="H238" s="20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6">
        <f t="shared" si="73"/>
        <v>0</v>
      </c>
      <c r="V238" s="20">
        <f t="shared" si="68"/>
        <v>0</v>
      </c>
      <c r="W238" s="35"/>
      <c r="X238" s="65" t="e">
        <f t="shared" si="67"/>
        <v>#DIV/0!</v>
      </c>
    </row>
    <row r="239" spans="1:24" ht="22.5" customHeight="1" hidden="1">
      <c r="A239" s="16"/>
      <c r="B239" s="28"/>
      <c r="C239" s="29"/>
      <c r="D239" s="22"/>
      <c r="E239" s="29"/>
      <c r="F239" s="21" t="s">
        <v>17</v>
      </c>
      <c r="G239" s="40" t="s">
        <v>259</v>
      </c>
      <c r="H239" s="20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>
        <f t="shared" si="73"/>
        <v>0</v>
      </c>
      <c r="V239" s="20">
        <f t="shared" si="68"/>
        <v>0</v>
      </c>
      <c r="W239" s="35"/>
      <c r="X239" s="65" t="e">
        <f t="shared" si="67"/>
        <v>#DIV/0!</v>
      </c>
    </row>
    <row r="240" spans="1:24" ht="12.75" customHeight="1" hidden="1">
      <c r="A240" s="16"/>
      <c r="B240" s="28"/>
      <c r="C240" s="29"/>
      <c r="D240" s="22"/>
      <c r="E240" s="29"/>
      <c r="F240" s="21" t="s">
        <v>22</v>
      </c>
      <c r="G240" s="39" t="s">
        <v>260</v>
      </c>
      <c r="H240" s="20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6">
        <f t="shared" si="73"/>
        <v>0</v>
      </c>
      <c r="V240" s="20">
        <f t="shared" si="68"/>
        <v>0</v>
      </c>
      <c r="W240" s="35"/>
      <c r="X240" s="65" t="e">
        <f t="shared" si="67"/>
        <v>#DIV/0!</v>
      </c>
    </row>
    <row r="241" spans="1:24" ht="12.75" customHeight="1" hidden="1">
      <c r="A241" s="16"/>
      <c r="B241" s="28"/>
      <c r="C241" s="29"/>
      <c r="D241" s="22"/>
      <c r="E241" s="29"/>
      <c r="F241" s="21" t="s">
        <v>28</v>
      </c>
      <c r="G241" s="39" t="s">
        <v>261</v>
      </c>
      <c r="H241" s="20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6">
        <f t="shared" si="73"/>
        <v>0</v>
      </c>
      <c r="V241" s="20">
        <f t="shared" si="68"/>
        <v>0</v>
      </c>
      <c r="W241" s="35"/>
      <c r="X241" s="65" t="e">
        <f t="shared" si="67"/>
        <v>#DIV/0!</v>
      </c>
    </row>
    <row r="242" spans="1:24" ht="22.5" customHeight="1" hidden="1">
      <c r="A242" s="16"/>
      <c r="B242" s="28"/>
      <c r="C242" s="29"/>
      <c r="D242" s="22"/>
      <c r="E242" s="29"/>
      <c r="F242" s="21" t="s">
        <v>54</v>
      </c>
      <c r="G242" s="40" t="s">
        <v>262</v>
      </c>
      <c r="H242" s="20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6">
        <f t="shared" si="73"/>
        <v>0</v>
      </c>
      <c r="V242" s="20">
        <f t="shared" si="68"/>
        <v>0</v>
      </c>
      <c r="W242" s="35"/>
      <c r="X242" s="65" t="e">
        <f t="shared" si="67"/>
        <v>#DIV/0!</v>
      </c>
    </row>
    <row r="243" spans="1:24" ht="12.75" customHeight="1" hidden="1">
      <c r="A243" s="16"/>
      <c r="B243" s="28" t="s">
        <v>159</v>
      </c>
      <c r="C243" s="29" t="s">
        <v>12</v>
      </c>
      <c r="D243" s="22" t="s">
        <v>28</v>
      </c>
      <c r="E243" s="29"/>
      <c r="F243" s="21"/>
      <c r="G243" s="39" t="s">
        <v>263</v>
      </c>
      <c r="H243" s="19">
        <f>SUM(H244:H250)</f>
        <v>0</v>
      </c>
      <c r="I243" s="37">
        <f aca="true" t="shared" si="76" ref="I243:U243">SUM(I244:I250)</f>
        <v>0</v>
      </c>
      <c r="J243" s="37">
        <f t="shared" si="76"/>
        <v>0</v>
      </c>
      <c r="K243" s="37">
        <f t="shared" si="76"/>
        <v>0</v>
      </c>
      <c r="L243" s="37">
        <f t="shared" si="76"/>
        <v>0</v>
      </c>
      <c r="M243" s="37">
        <f t="shared" si="76"/>
        <v>0</v>
      </c>
      <c r="N243" s="37">
        <f t="shared" si="76"/>
        <v>0</v>
      </c>
      <c r="O243" s="37">
        <f t="shared" si="76"/>
        <v>0</v>
      </c>
      <c r="P243" s="37">
        <f t="shared" si="76"/>
        <v>0</v>
      </c>
      <c r="Q243" s="37">
        <f t="shared" si="76"/>
        <v>0</v>
      </c>
      <c r="R243" s="37">
        <f t="shared" si="76"/>
        <v>0</v>
      </c>
      <c r="S243" s="37">
        <f t="shared" si="76"/>
        <v>0</v>
      </c>
      <c r="T243" s="37">
        <f t="shared" si="76"/>
        <v>0</v>
      </c>
      <c r="U243" s="38">
        <f t="shared" si="76"/>
        <v>0</v>
      </c>
      <c r="V243" s="19">
        <f t="shared" si="68"/>
        <v>0</v>
      </c>
      <c r="W243" s="37">
        <f>SUM(W244:W250)</f>
        <v>0</v>
      </c>
      <c r="X243" s="65" t="e">
        <f t="shared" si="67"/>
        <v>#DIV/0!</v>
      </c>
    </row>
    <row r="244" spans="1:24" ht="12.75" customHeight="1" hidden="1">
      <c r="A244" s="16"/>
      <c r="B244" s="28"/>
      <c r="C244" s="29"/>
      <c r="D244" s="22"/>
      <c r="E244" s="29" t="s">
        <v>14</v>
      </c>
      <c r="F244" s="21"/>
      <c r="G244" s="39" t="s">
        <v>264</v>
      </c>
      <c r="H244" s="20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6">
        <f t="shared" si="73"/>
        <v>0</v>
      </c>
      <c r="V244" s="20">
        <f t="shared" si="68"/>
        <v>0</v>
      </c>
      <c r="W244" s="35"/>
      <c r="X244" s="65" t="e">
        <f t="shared" si="67"/>
        <v>#DIV/0!</v>
      </c>
    </row>
    <row r="245" spans="1:24" ht="12.75" customHeight="1" hidden="1">
      <c r="A245" s="16"/>
      <c r="B245" s="28"/>
      <c r="C245" s="29"/>
      <c r="D245" s="22"/>
      <c r="E245" s="29" t="s">
        <v>17</v>
      </c>
      <c r="F245" s="21"/>
      <c r="G245" s="39" t="s">
        <v>265</v>
      </c>
      <c r="H245" s="20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6">
        <f t="shared" si="73"/>
        <v>0</v>
      </c>
      <c r="V245" s="20">
        <f t="shared" si="68"/>
        <v>0</v>
      </c>
      <c r="W245" s="35"/>
      <c r="X245" s="65" t="e">
        <f t="shared" si="67"/>
        <v>#DIV/0!</v>
      </c>
    </row>
    <row r="246" spans="1:24" ht="12.75" customHeight="1" hidden="1">
      <c r="A246" s="16"/>
      <c r="B246" s="28"/>
      <c r="C246" s="29"/>
      <c r="D246" s="22"/>
      <c r="E246" s="29" t="s">
        <v>22</v>
      </c>
      <c r="F246" s="21"/>
      <c r="G246" s="39" t="s">
        <v>266</v>
      </c>
      <c r="H246" s="20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6">
        <f t="shared" si="73"/>
        <v>0</v>
      </c>
      <c r="V246" s="20">
        <f t="shared" si="68"/>
        <v>0</v>
      </c>
      <c r="W246" s="35"/>
      <c r="X246" s="65" t="e">
        <f t="shared" si="67"/>
        <v>#DIV/0!</v>
      </c>
    </row>
    <row r="247" spans="1:24" ht="12.75" customHeight="1" hidden="1">
      <c r="A247" s="16"/>
      <c r="B247" s="28"/>
      <c r="C247" s="29"/>
      <c r="D247" s="22"/>
      <c r="E247" s="29" t="s">
        <v>28</v>
      </c>
      <c r="F247" s="21"/>
      <c r="G247" s="39" t="s">
        <v>267</v>
      </c>
      <c r="H247" s="20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6">
        <f t="shared" si="73"/>
        <v>0</v>
      </c>
      <c r="V247" s="20">
        <f t="shared" si="68"/>
        <v>0</v>
      </c>
      <c r="W247" s="35"/>
      <c r="X247" s="65" t="e">
        <f t="shared" si="67"/>
        <v>#DIV/0!</v>
      </c>
    </row>
    <row r="248" spans="1:24" ht="12.75" customHeight="1" hidden="1">
      <c r="A248" s="16"/>
      <c r="B248" s="28"/>
      <c r="C248" s="29"/>
      <c r="D248" s="22"/>
      <c r="E248" s="29" t="s">
        <v>54</v>
      </c>
      <c r="F248" s="21"/>
      <c r="G248" s="39" t="s">
        <v>268</v>
      </c>
      <c r="H248" s="20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6">
        <f t="shared" si="73"/>
        <v>0</v>
      </c>
      <c r="V248" s="20">
        <f t="shared" si="68"/>
        <v>0</v>
      </c>
      <c r="W248" s="35"/>
      <c r="X248" s="65" t="e">
        <f t="shared" si="67"/>
        <v>#DIV/0!</v>
      </c>
    </row>
    <row r="249" spans="1:24" ht="12.75" customHeight="1" hidden="1">
      <c r="A249" s="16"/>
      <c r="B249" s="28"/>
      <c r="C249" s="29"/>
      <c r="D249" s="22"/>
      <c r="E249" s="29" t="s">
        <v>57</v>
      </c>
      <c r="F249" s="21"/>
      <c r="G249" s="39" t="s">
        <v>269</v>
      </c>
      <c r="H249" s="20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6">
        <f t="shared" si="73"/>
        <v>0</v>
      </c>
      <c r="V249" s="20">
        <f t="shared" si="68"/>
        <v>0</v>
      </c>
      <c r="W249" s="35"/>
      <c r="X249" s="65" t="e">
        <f t="shared" si="67"/>
        <v>#DIV/0!</v>
      </c>
    </row>
    <row r="250" spans="1:24" ht="12.75" customHeight="1" hidden="1">
      <c r="A250" s="16"/>
      <c r="B250" s="28"/>
      <c r="C250" s="29"/>
      <c r="D250" s="22"/>
      <c r="E250" s="29" t="s">
        <v>61</v>
      </c>
      <c r="F250" s="21"/>
      <c r="G250" s="39" t="s">
        <v>270</v>
      </c>
      <c r="H250" s="20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6">
        <f t="shared" si="73"/>
        <v>0</v>
      </c>
      <c r="V250" s="20">
        <f t="shared" si="68"/>
        <v>0</v>
      </c>
      <c r="W250" s="35"/>
      <c r="X250" s="65" t="e">
        <f t="shared" si="67"/>
        <v>#DIV/0!</v>
      </c>
    </row>
    <row r="251" spans="1:24" ht="12.75" customHeight="1" hidden="1">
      <c r="A251" s="16"/>
      <c r="B251" s="28" t="s">
        <v>159</v>
      </c>
      <c r="C251" s="29" t="s">
        <v>12</v>
      </c>
      <c r="D251" s="22" t="s">
        <v>54</v>
      </c>
      <c r="E251" s="29"/>
      <c r="F251" s="21"/>
      <c r="G251" s="39" t="s">
        <v>271</v>
      </c>
      <c r="H251" s="19">
        <f>SUM(H252+H255+H256+H258)</f>
        <v>0</v>
      </c>
      <c r="I251" s="37">
        <f aca="true" t="shared" si="77" ref="I251:U251">SUM(I252+I255+I256+I258)</f>
        <v>0</v>
      </c>
      <c r="J251" s="37">
        <f t="shared" si="77"/>
        <v>0</v>
      </c>
      <c r="K251" s="37">
        <f t="shared" si="77"/>
        <v>0</v>
      </c>
      <c r="L251" s="37">
        <f t="shared" si="77"/>
        <v>0</v>
      </c>
      <c r="M251" s="37">
        <f t="shared" si="77"/>
        <v>0</v>
      </c>
      <c r="N251" s="37">
        <f t="shared" si="77"/>
        <v>0</v>
      </c>
      <c r="O251" s="37">
        <f t="shared" si="77"/>
        <v>0</v>
      </c>
      <c r="P251" s="37">
        <f t="shared" si="77"/>
        <v>0</v>
      </c>
      <c r="Q251" s="37">
        <f t="shared" si="77"/>
        <v>0</v>
      </c>
      <c r="R251" s="37">
        <f t="shared" si="77"/>
        <v>0</v>
      </c>
      <c r="S251" s="37">
        <f t="shared" si="77"/>
        <v>0</v>
      </c>
      <c r="T251" s="37">
        <f t="shared" si="77"/>
        <v>0</v>
      </c>
      <c r="U251" s="38">
        <f t="shared" si="77"/>
        <v>0</v>
      </c>
      <c r="V251" s="19">
        <f t="shared" si="68"/>
        <v>0</v>
      </c>
      <c r="W251" s="37">
        <f>SUM(W252+W255+W256+W258)</f>
        <v>0</v>
      </c>
      <c r="X251" s="65" t="e">
        <f t="shared" si="67"/>
        <v>#DIV/0!</v>
      </c>
    </row>
    <row r="252" spans="1:24" ht="12.75" customHeight="1" hidden="1">
      <c r="A252" s="16"/>
      <c r="B252" s="28"/>
      <c r="C252" s="29"/>
      <c r="D252" s="22"/>
      <c r="E252" s="29" t="s">
        <v>14</v>
      </c>
      <c r="F252" s="21"/>
      <c r="G252" s="39" t="s">
        <v>272</v>
      </c>
      <c r="H252" s="19">
        <f>SUM(H253:H254)</f>
        <v>0</v>
      </c>
      <c r="I252" s="37">
        <f aca="true" t="shared" si="78" ref="I252:U252">SUM(I253:I254)</f>
        <v>0</v>
      </c>
      <c r="J252" s="37">
        <f t="shared" si="78"/>
        <v>0</v>
      </c>
      <c r="K252" s="37">
        <f t="shared" si="78"/>
        <v>0</v>
      </c>
      <c r="L252" s="37">
        <f t="shared" si="78"/>
        <v>0</v>
      </c>
      <c r="M252" s="37">
        <f t="shared" si="78"/>
        <v>0</v>
      </c>
      <c r="N252" s="37">
        <f t="shared" si="78"/>
        <v>0</v>
      </c>
      <c r="O252" s="37">
        <f t="shared" si="78"/>
        <v>0</v>
      </c>
      <c r="P252" s="37">
        <f t="shared" si="78"/>
        <v>0</v>
      </c>
      <c r="Q252" s="37">
        <f t="shared" si="78"/>
        <v>0</v>
      </c>
      <c r="R252" s="37">
        <f t="shared" si="78"/>
        <v>0</v>
      </c>
      <c r="S252" s="37">
        <f t="shared" si="78"/>
        <v>0</v>
      </c>
      <c r="T252" s="37">
        <f t="shared" si="78"/>
        <v>0</v>
      </c>
      <c r="U252" s="38">
        <f t="shared" si="78"/>
        <v>0</v>
      </c>
      <c r="V252" s="19">
        <f t="shared" si="68"/>
        <v>0</v>
      </c>
      <c r="W252" s="37">
        <f>SUM(W253:W254)</f>
        <v>0</v>
      </c>
      <c r="X252" s="65" t="e">
        <f t="shared" si="67"/>
        <v>#DIV/0!</v>
      </c>
    </row>
    <row r="253" spans="1:24" ht="12.75" customHeight="1" hidden="1">
      <c r="A253" s="16"/>
      <c r="B253" s="28"/>
      <c r="C253" s="29"/>
      <c r="D253" s="22"/>
      <c r="E253" s="29"/>
      <c r="F253" s="21" t="s">
        <v>14</v>
      </c>
      <c r="G253" s="39" t="s">
        <v>273</v>
      </c>
      <c r="H253" s="20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6">
        <f aca="true" t="shared" si="79" ref="U253:U258">SUM(I253:T253)</f>
        <v>0</v>
      </c>
      <c r="V253" s="20">
        <f t="shared" si="68"/>
        <v>0</v>
      </c>
      <c r="W253" s="35"/>
      <c r="X253" s="65" t="e">
        <f t="shared" si="67"/>
        <v>#DIV/0!</v>
      </c>
    </row>
    <row r="254" spans="1:24" ht="12.75" customHeight="1" hidden="1">
      <c r="A254" s="16"/>
      <c r="B254" s="28"/>
      <c r="C254" s="29"/>
      <c r="D254" s="22"/>
      <c r="E254" s="29"/>
      <c r="F254" s="21" t="s">
        <v>17</v>
      </c>
      <c r="G254" s="39" t="s">
        <v>274</v>
      </c>
      <c r="H254" s="20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6">
        <f t="shared" si="79"/>
        <v>0</v>
      </c>
      <c r="V254" s="20">
        <f t="shared" si="68"/>
        <v>0</v>
      </c>
      <c r="W254" s="35"/>
      <c r="X254" s="65" t="e">
        <f t="shared" si="67"/>
        <v>#DIV/0!</v>
      </c>
    </row>
    <row r="255" spans="1:24" ht="12.75" customHeight="1" hidden="1">
      <c r="A255" s="16"/>
      <c r="B255" s="28"/>
      <c r="C255" s="29"/>
      <c r="D255" s="22"/>
      <c r="E255" s="29" t="s">
        <v>17</v>
      </c>
      <c r="F255" s="21"/>
      <c r="G255" s="39" t="s">
        <v>275</v>
      </c>
      <c r="H255" s="20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6">
        <f t="shared" si="79"/>
        <v>0</v>
      </c>
      <c r="V255" s="20">
        <f t="shared" si="68"/>
        <v>0</v>
      </c>
      <c r="W255" s="35"/>
      <c r="X255" s="65" t="e">
        <f t="shared" si="67"/>
        <v>#DIV/0!</v>
      </c>
    </row>
    <row r="256" spans="1:24" ht="12.75" customHeight="1" hidden="1">
      <c r="A256" s="16"/>
      <c r="B256" s="28"/>
      <c r="C256" s="29"/>
      <c r="D256" s="22"/>
      <c r="E256" s="29" t="s">
        <v>22</v>
      </c>
      <c r="F256" s="21"/>
      <c r="G256" s="39" t="s">
        <v>276</v>
      </c>
      <c r="H256" s="19">
        <f aca="true" t="shared" si="80" ref="H256:W256">SUM(H257)</f>
        <v>0</v>
      </c>
      <c r="I256" s="37">
        <f t="shared" si="80"/>
        <v>0</v>
      </c>
      <c r="J256" s="37">
        <f t="shared" si="80"/>
        <v>0</v>
      </c>
      <c r="K256" s="37">
        <f t="shared" si="80"/>
        <v>0</v>
      </c>
      <c r="L256" s="37">
        <f t="shared" si="80"/>
        <v>0</v>
      </c>
      <c r="M256" s="37">
        <f t="shared" si="80"/>
        <v>0</v>
      </c>
      <c r="N256" s="37">
        <f t="shared" si="80"/>
        <v>0</v>
      </c>
      <c r="O256" s="37">
        <f t="shared" si="80"/>
        <v>0</v>
      </c>
      <c r="P256" s="37">
        <f t="shared" si="80"/>
        <v>0</v>
      </c>
      <c r="Q256" s="37">
        <f t="shared" si="80"/>
        <v>0</v>
      </c>
      <c r="R256" s="37">
        <f t="shared" si="80"/>
        <v>0</v>
      </c>
      <c r="S256" s="37">
        <f t="shared" si="80"/>
        <v>0</v>
      </c>
      <c r="T256" s="37">
        <f t="shared" si="80"/>
        <v>0</v>
      </c>
      <c r="U256" s="38">
        <f t="shared" si="80"/>
        <v>0</v>
      </c>
      <c r="V256" s="19">
        <f t="shared" si="68"/>
        <v>0</v>
      </c>
      <c r="W256" s="37">
        <f t="shared" si="80"/>
        <v>0</v>
      </c>
      <c r="X256" s="65" t="e">
        <f t="shared" si="67"/>
        <v>#DIV/0!</v>
      </c>
    </row>
    <row r="257" spans="1:24" ht="12.75" customHeight="1" hidden="1">
      <c r="A257" s="16"/>
      <c r="B257" s="28"/>
      <c r="C257" s="29"/>
      <c r="D257" s="22"/>
      <c r="E257" s="29"/>
      <c r="F257" s="21" t="s">
        <v>14</v>
      </c>
      <c r="G257" s="39" t="s">
        <v>277</v>
      </c>
      <c r="H257" s="20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6">
        <f t="shared" si="79"/>
        <v>0</v>
      </c>
      <c r="V257" s="20">
        <f t="shared" si="68"/>
        <v>0</v>
      </c>
      <c r="W257" s="35"/>
      <c r="X257" s="65" t="e">
        <f t="shared" si="67"/>
        <v>#DIV/0!</v>
      </c>
    </row>
    <row r="258" spans="1:24" ht="12.75" customHeight="1" hidden="1">
      <c r="A258" s="16"/>
      <c r="B258" s="28"/>
      <c r="C258" s="29"/>
      <c r="D258" s="22"/>
      <c r="E258" s="29" t="s">
        <v>28</v>
      </c>
      <c r="F258" s="21"/>
      <c r="G258" s="39" t="s">
        <v>278</v>
      </c>
      <c r="H258" s="20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6">
        <f t="shared" si="79"/>
        <v>0</v>
      </c>
      <c r="V258" s="20">
        <f t="shared" si="68"/>
        <v>0</v>
      </c>
      <c r="W258" s="35"/>
      <c r="X258" s="65" t="e">
        <f t="shared" si="67"/>
        <v>#DIV/0!</v>
      </c>
    </row>
    <row r="259" spans="1:24" ht="12.75">
      <c r="A259" s="16"/>
      <c r="B259" s="28" t="s">
        <v>159</v>
      </c>
      <c r="C259" s="29" t="s">
        <v>35</v>
      </c>
      <c r="D259" s="22"/>
      <c r="E259" s="29"/>
      <c r="F259" s="21"/>
      <c r="G259" s="39" t="s">
        <v>279</v>
      </c>
      <c r="H259" s="19">
        <f>+Gastos!H113</f>
        <v>1135771000</v>
      </c>
      <c r="I259" s="37">
        <f>+Gastos!I113</f>
        <v>83416929</v>
      </c>
      <c r="J259" s="37">
        <f>+Gastos!J113</f>
        <v>72066854</v>
      </c>
      <c r="K259" s="37">
        <f>+Gastos!K113</f>
        <v>74053269</v>
      </c>
      <c r="L259" s="37">
        <f>+Gastos!L113</f>
        <v>80423453</v>
      </c>
      <c r="M259" s="37">
        <f>+Gastos!M113</f>
        <v>117052317</v>
      </c>
      <c r="N259" s="37">
        <f>+Gastos!N113</f>
        <v>71901071</v>
      </c>
      <c r="O259" s="37">
        <f>+Gastos!O113</f>
        <v>119371455</v>
      </c>
      <c r="P259" s="37">
        <f>+Gastos!P113</f>
        <v>74009539</v>
      </c>
      <c r="Q259" s="37">
        <f>+Gastos!Q113</f>
        <v>70002009</v>
      </c>
      <c r="R259" s="37">
        <f>+Gastos!R113</f>
        <v>0</v>
      </c>
      <c r="S259" s="37">
        <f>+Gastos!S113</f>
        <v>0</v>
      </c>
      <c r="T259" s="37">
        <f>+Gastos!T113</f>
        <v>0</v>
      </c>
      <c r="U259" s="38">
        <f>+Gastos!U113</f>
        <v>762296896</v>
      </c>
      <c r="V259" s="19">
        <f t="shared" si="68"/>
        <v>373474104</v>
      </c>
      <c r="W259" s="37">
        <f>+Gastos!W113</f>
        <v>0</v>
      </c>
      <c r="X259" s="65">
        <f>+Gastos!X113</f>
        <v>67.1171297735195</v>
      </c>
    </row>
    <row r="260" spans="1:24" ht="12.75" customHeight="1" hidden="1">
      <c r="A260" s="16"/>
      <c r="B260" s="28" t="s">
        <v>159</v>
      </c>
      <c r="C260" s="29" t="s">
        <v>35</v>
      </c>
      <c r="D260" s="22" t="s">
        <v>14</v>
      </c>
      <c r="E260" s="29"/>
      <c r="F260" s="21"/>
      <c r="G260" s="39" t="s">
        <v>162</v>
      </c>
      <c r="H260" s="19">
        <f>SUM(H261+H262+H265+H266+H270+H273+H276+H285+H287+H289+H298+H301+H304+H305+H308+H309+H310+H313+H314+H315+H316+H317)</f>
        <v>0</v>
      </c>
      <c r="I260" s="37">
        <f aca="true" t="shared" si="81" ref="I260:U260">SUM(I261+I262+I265+I266+I270+I273+I276+I285+I287+I289+I298+I301+I304+I305+I308+I309+I310+I313+I314+I315+I316+I317)</f>
        <v>0</v>
      </c>
      <c r="J260" s="37">
        <f t="shared" si="81"/>
        <v>0</v>
      </c>
      <c r="K260" s="37">
        <f t="shared" si="81"/>
        <v>0</v>
      </c>
      <c r="L260" s="37">
        <f t="shared" si="81"/>
        <v>0</v>
      </c>
      <c r="M260" s="37">
        <f t="shared" si="81"/>
        <v>0</v>
      </c>
      <c r="N260" s="37">
        <f t="shared" si="81"/>
        <v>0</v>
      </c>
      <c r="O260" s="37">
        <f t="shared" si="81"/>
        <v>0</v>
      </c>
      <c r="P260" s="37">
        <f t="shared" si="81"/>
        <v>0</v>
      </c>
      <c r="Q260" s="37">
        <f t="shared" si="81"/>
        <v>0</v>
      </c>
      <c r="R260" s="37">
        <f t="shared" si="81"/>
        <v>0</v>
      </c>
      <c r="S260" s="37">
        <f t="shared" si="81"/>
        <v>0</v>
      </c>
      <c r="T260" s="37">
        <f t="shared" si="81"/>
        <v>0</v>
      </c>
      <c r="U260" s="38">
        <f t="shared" si="81"/>
        <v>0</v>
      </c>
      <c r="V260" s="19">
        <f t="shared" si="68"/>
        <v>0</v>
      </c>
      <c r="W260" s="37">
        <f>SUM(W261+W262+W265+W266+W270+W273+W276+W285+W287+W289+W298+W301+W304+W305+W308+W309+W310+W313+W314+W315+W316+W317)</f>
        <v>0</v>
      </c>
      <c r="X260" s="65" t="e">
        <f t="shared" si="67"/>
        <v>#DIV/0!</v>
      </c>
    </row>
    <row r="261" spans="1:24" ht="12.75" customHeight="1" hidden="1">
      <c r="A261" s="16"/>
      <c r="B261" s="28"/>
      <c r="C261" s="29"/>
      <c r="D261" s="22"/>
      <c r="E261" s="29" t="s">
        <v>14</v>
      </c>
      <c r="F261" s="21"/>
      <c r="G261" s="39" t="s">
        <v>163</v>
      </c>
      <c r="H261" s="20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6">
        <f aca="true" t="shared" si="82" ref="U261:U320">SUM(I261:T261)</f>
        <v>0</v>
      </c>
      <c r="V261" s="20">
        <f t="shared" si="68"/>
        <v>0</v>
      </c>
      <c r="W261" s="35"/>
      <c r="X261" s="65" t="e">
        <f t="shared" si="67"/>
        <v>#DIV/0!</v>
      </c>
    </row>
    <row r="262" spans="1:24" ht="12.75" customHeight="1" hidden="1">
      <c r="A262" s="16"/>
      <c r="B262" s="28"/>
      <c r="C262" s="29"/>
      <c r="D262" s="22"/>
      <c r="E262" s="29" t="s">
        <v>17</v>
      </c>
      <c r="F262" s="21"/>
      <c r="G262" s="39" t="s">
        <v>164</v>
      </c>
      <c r="H262" s="19">
        <f>SUM(H263:H264)</f>
        <v>0</v>
      </c>
      <c r="I262" s="37">
        <f aca="true" t="shared" si="83" ref="I262:U262">SUM(I263:I264)</f>
        <v>0</v>
      </c>
      <c r="J262" s="37">
        <f t="shared" si="83"/>
        <v>0</v>
      </c>
      <c r="K262" s="37">
        <f t="shared" si="83"/>
        <v>0</v>
      </c>
      <c r="L262" s="37">
        <f t="shared" si="83"/>
        <v>0</v>
      </c>
      <c r="M262" s="37">
        <f t="shared" si="83"/>
        <v>0</v>
      </c>
      <c r="N262" s="37">
        <f t="shared" si="83"/>
        <v>0</v>
      </c>
      <c r="O262" s="37">
        <f t="shared" si="83"/>
        <v>0</v>
      </c>
      <c r="P262" s="37">
        <f t="shared" si="83"/>
        <v>0</v>
      </c>
      <c r="Q262" s="37">
        <f t="shared" si="83"/>
        <v>0</v>
      </c>
      <c r="R262" s="37">
        <f t="shared" si="83"/>
        <v>0</v>
      </c>
      <c r="S262" s="37">
        <f t="shared" si="83"/>
        <v>0</v>
      </c>
      <c r="T262" s="37">
        <f t="shared" si="83"/>
        <v>0</v>
      </c>
      <c r="U262" s="38">
        <f t="shared" si="83"/>
        <v>0</v>
      </c>
      <c r="V262" s="19">
        <f t="shared" si="68"/>
        <v>0</v>
      </c>
      <c r="W262" s="37">
        <f>SUM(W263:W264)</f>
        <v>0</v>
      </c>
      <c r="X262" s="65" t="e">
        <f t="shared" si="67"/>
        <v>#DIV/0!</v>
      </c>
    </row>
    <row r="263" spans="1:24" ht="12.75" customHeight="1" hidden="1">
      <c r="A263" s="16"/>
      <c r="B263" s="28"/>
      <c r="C263" s="29"/>
      <c r="D263" s="22"/>
      <c r="E263" s="29"/>
      <c r="F263" s="21" t="s">
        <v>14</v>
      </c>
      <c r="G263" s="39" t="s">
        <v>165</v>
      </c>
      <c r="H263" s="20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6">
        <f t="shared" si="82"/>
        <v>0</v>
      </c>
      <c r="V263" s="20">
        <f t="shared" si="68"/>
        <v>0</v>
      </c>
      <c r="W263" s="35"/>
      <c r="X263" s="65" t="e">
        <f t="shared" si="67"/>
        <v>#DIV/0!</v>
      </c>
    </row>
    <row r="264" spans="1:24" ht="22.5" customHeight="1" hidden="1">
      <c r="A264" s="16"/>
      <c r="B264" s="28"/>
      <c r="C264" s="29"/>
      <c r="D264" s="22"/>
      <c r="E264" s="29"/>
      <c r="F264" s="21" t="s">
        <v>17</v>
      </c>
      <c r="G264" s="40" t="s">
        <v>166</v>
      </c>
      <c r="H264" s="20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6">
        <f t="shared" si="82"/>
        <v>0</v>
      </c>
      <c r="V264" s="20">
        <f t="shared" si="68"/>
        <v>0</v>
      </c>
      <c r="W264" s="35"/>
      <c r="X264" s="65" t="e">
        <f t="shared" si="67"/>
        <v>#DIV/0!</v>
      </c>
    </row>
    <row r="265" spans="1:24" ht="12.75" customHeight="1" hidden="1">
      <c r="A265" s="16"/>
      <c r="B265" s="28"/>
      <c r="C265" s="29"/>
      <c r="D265" s="22"/>
      <c r="E265" s="29" t="s">
        <v>22</v>
      </c>
      <c r="F265" s="21"/>
      <c r="G265" s="39" t="s">
        <v>168</v>
      </c>
      <c r="H265" s="20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6">
        <f t="shared" si="82"/>
        <v>0</v>
      </c>
      <c r="V265" s="20">
        <f t="shared" si="68"/>
        <v>0</v>
      </c>
      <c r="W265" s="35"/>
      <c r="X265" s="65" t="e">
        <f t="shared" si="67"/>
        <v>#DIV/0!</v>
      </c>
    </row>
    <row r="266" spans="1:24" ht="12.75" customHeight="1" hidden="1">
      <c r="A266" s="16"/>
      <c r="B266" s="28"/>
      <c r="C266" s="29"/>
      <c r="D266" s="22"/>
      <c r="E266" s="29" t="s">
        <v>28</v>
      </c>
      <c r="F266" s="21"/>
      <c r="G266" s="39" t="s">
        <v>170</v>
      </c>
      <c r="H266" s="19">
        <f>SUM(H267:H269)</f>
        <v>0</v>
      </c>
      <c r="I266" s="37">
        <f aca="true" t="shared" si="84" ref="I266:U266">SUM(I267:I269)</f>
        <v>0</v>
      </c>
      <c r="J266" s="37">
        <f t="shared" si="84"/>
        <v>0</v>
      </c>
      <c r="K266" s="37">
        <f t="shared" si="84"/>
        <v>0</v>
      </c>
      <c r="L266" s="37">
        <f t="shared" si="84"/>
        <v>0</v>
      </c>
      <c r="M266" s="37">
        <f t="shared" si="84"/>
        <v>0</v>
      </c>
      <c r="N266" s="37">
        <f t="shared" si="84"/>
        <v>0</v>
      </c>
      <c r="O266" s="37">
        <f t="shared" si="84"/>
        <v>0</v>
      </c>
      <c r="P266" s="37">
        <f t="shared" si="84"/>
        <v>0</v>
      </c>
      <c r="Q266" s="37">
        <f t="shared" si="84"/>
        <v>0</v>
      </c>
      <c r="R266" s="37">
        <f t="shared" si="84"/>
        <v>0</v>
      </c>
      <c r="S266" s="37">
        <f t="shared" si="84"/>
        <v>0</v>
      </c>
      <c r="T266" s="37">
        <f t="shared" si="84"/>
        <v>0</v>
      </c>
      <c r="U266" s="38">
        <f t="shared" si="84"/>
        <v>0</v>
      </c>
      <c r="V266" s="19">
        <f t="shared" si="68"/>
        <v>0</v>
      </c>
      <c r="W266" s="37">
        <f>SUM(W267:W269)</f>
        <v>0</v>
      </c>
      <c r="X266" s="65" t="e">
        <f t="shared" si="67"/>
        <v>#DIV/0!</v>
      </c>
    </row>
    <row r="267" spans="1:24" ht="12.75" customHeight="1" hidden="1">
      <c r="A267" s="16"/>
      <c r="B267" s="28"/>
      <c r="C267" s="29"/>
      <c r="D267" s="22"/>
      <c r="E267" s="29"/>
      <c r="F267" s="21" t="s">
        <v>14</v>
      </c>
      <c r="G267" s="39" t="s">
        <v>171</v>
      </c>
      <c r="H267" s="20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6">
        <f t="shared" si="82"/>
        <v>0</v>
      </c>
      <c r="V267" s="20">
        <f t="shared" si="68"/>
        <v>0</v>
      </c>
      <c r="W267" s="35"/>
      <c r="X267" s="65" t="e">
        <f t="shared" si="67"/>
        <v>#DIV/0!</v>
      </c>
    </row>
    <row r="268" spans="1:24" ht="12.75" customHeight="1" hidden="1">
      <c r="A268" s="16"/>
      <c r="B268" s="28"/>
      <c r="C268" s="29"/>
      <c r="D268" s="22"/>
      <c r="E268" s="29"/>
      <c r="F268" s="21" t="s">
        <v>17</v>
      </c>
      <c r="G268" s="39" t="s">
        <v>172</v>
      </c>
      <c r="H268" s="20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6">
        <f t="shared" si="82"/>
        <v>0</v>
      </c>
      <c r="V268" s="20">
        <f t="shared" si="68"/>
        <v>0</v>
      </c>
      <c r="W268" s="35"/>
      <c r="X268" s="65" t="e">
        <f t="shared" si="67"/>
        <v>#DIV/0!</v>
      </c>
    </row>
    <row r="269" spans="1:24" ht="12.75" customHeight="1" hidden="1">
      <c r="A269" s="16"/>
      <c r="B269" s="28"/>
      <c r="C269" s="29"/>
      <c r="D269" s="22"/>
      <c r="E269" s="29"/>
      <c r="F269" s="21" t="s">
        <v>22</v>
      </c>
      <c r="G269" s="39" t="s">
        <v>174</v>
      </c>
      <c r="H269" s="20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6">
        <f t="shared" si="82"/>
        <v>0</v>
      </c>
      <c r="V269" s="20">
        <f t="shared" si="68"/>
        <v>0</v>
      </c>
      <c r="W269" s="35"/>
      <c r="X269" s="65" t="e">
        <f t="shared" si="67"/>
        <v>#DIV/0!</v>
      </c>
    </row>
    <row r="270" spans="1:24" ht="12.75" customHeight="1" hidden="1">
      <c r="A270" s="16"/>
      <c r="B270" s="28"/>
      <c r="C270" s="29"/>
      <c r="D270" s="22"/>
      <c r="E270" s="29" t="s">
        <v>61</v>
      </c>
      <c r="F270" s="21"/>
      <c r="G270" s="39" t="s">
        <v>280</v>
      </c>
      <c r="H270" s="19">
        <f>SUM(H271:H272)</f>
        <v>0</v>
      </c>
      <c r="I270" s="37">
        <f aca="true" t="shared" si="85" ref="I270:U270">SUM(I271:I272)</f>
        <v>0</v>
      </c>
      <c r="J270" s="37">
        <f t="shared" si="85"/>
        <v>0</v>
      </c>
      <c r="K270" s="37">
        <f t="shared" si="85"/>
        <v>0</v>
      </c>
      <c r="L270" s="37">
        <f t="shared" si="85"/>
        <v>0</v>
      </c>
      <c r="M270" s="37">
        <f t="shared" si="85"/>
        <v>0</v>
      </c>
      <c r="N270" s="37">
        <f t="shared" si="85"/>
        <v>0</v>
      </c>
      <c r="O270" s="37">
        <f t="shared" si="85"/>
        <v>0</v>
      </c>
      <c r="P270" s="37">
        <f t="shared" si="85"/>
        <v>0</v>
      </c>
      <c r="Q270" s="37">
        <f t="shared" si="85"/>
        <v>0</v>
      </c>
      <c r="R270" s="37">
        <f t="shared" si="85"/>
        <v>0</v>
      </c>
      <c r="S270" s="37">
        <f t="shared" si="85"/>
        <v>0</v>
      </c>
      <c r="T270" s="37">
        <f t="shared" si="85"/>
        <v>0</v>
      </c>
      <c r="U270" s="38">
        <f t="shared" si="85"/>
        <v>0</v>
      </c>
      <c r="V270" s="19">
        <f t="shared" si="68"/>
        <v>0</v>
      </c>
      <c r="W270" s="37">
        <f>SUM(W271:W272)</f>
        <v>0</v>
      </c>
      <c r="X270" s="65" t="e">
        <f t="shared" si="67"/>
        <v>#DIV/0!</v>
      </c>
    </row>
    <row r="271" spans="1:24" ht="12.75" customHeight="1" hidden="1">
      <c r="A271" s="16"/>
      <c r="B271" s="28"/>
      <c r="C271" s="29"/>
      <c r="D271" s="22"/>
      <c r="E271" s="29"/>
      <c r="F271" s="21" t="s">
        <v>14</v>
      </c>
      <c r="G271" s="39" t="s">
        <v>176</v>
      </c>
      <c r="H271" s="20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6">
        <f t="shared" si="82"/>
        <v>0</v>
      </c>
      <c r="V271" s="20">
        <f t="shared" si="68"/>
        <v>0</v>
      </c>
      <c r="W271" s="35"/>
      <c r="X271" s="65" t="e">
        <f t="shared" si="67"/>
        <v>#DIV/0!</v>
      </c>
    </row>
    <row r="272" spans="1:24" ht="12.75" customHeight="1" hidden="1">
      <c r="A272" s="16"/>
      <c r="B272" s="28"/>
      <c r="C272" s="29"/>
      <c r="D272" s="22"/>
      <c r="E272" s="29"/>
      <c r="F272" s="21" t="s">
        <v>17</v>
      </c>
      <c r="G272" s="39" t="s">
        <v>281</v>
      </c>
      <c r="H272" s="20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6">
        <f t="shared" si="82"/>
        <v>0</v>
      </c>
      <c r="V272" s="20">
        <f t="shared" si="68"/>
        <v>0</v>
      </c>
      <c r="W272" s="35"/>
      <c r="X272" s="65" t="e">
        <f t="shared" si="67"/>
        <v>#DIV/0!</v>
      </c>
    </row>
    <row r="273" spans="1:24" ht="12.75" customHeight="1" hidden="1">
      <c r="A273" s="16"/>
      <c r="B273" s="28"/>
      <c r="C273" s="29"/>
      <c r="D273" s="22"/>
      <c r="E273" s="29" t="s">
        <v>65</v>
      </c>
      <c r="F273" s="21"/>
      <c r="G273" s="39" t="s">
        <v>179</v>
      </c>
      <c r="H273" s="19">
        <f>SUM(H274:H275)</f>
        <v>0</v>
      </c>
      <c r="I273" s="37">
        <f aca="true" t="shared" si="86" ref="I273:U273">SUM(I274:I275)</f>
        <v>0</v>
      </c>
      <c r="J273" s="37">
        <f t="shared" si="86"/>
        <v>0</v>
      </c>
      <c r="K273" s="37">
        <f t="shared" si="86"/>
        <v>0</v>
      </c>
      <c r="L273" s="37">
        <f t="shared" si="86"/>
        <v>0</v>
      </c>
      <c r="M273" s="37">
        <f t="shared" si="86"/>
        <v>0</v>
      </c>
      <c r="N273" s="37">
        <f t="shared" si="86"/>
        <v>0</v>
      </c>
      <c r="O273" s="37">
        <f t="shared" si="86"/>
        <v>0</v>
      </c>
      <c r="P273" s="37">
        <f t="shared" si="86"/>
        <v>0</v>
      </c>
      <c r="Q273" s="37">
        <f t="shared" si="86"/>
        <v>0</v>
      </c>
      <c r="R273" s="37">
        <f t="shared" si="86"/>
        <v>0</v>
      </c>
      <c r="S273" s="37">
        <f t="shared" si="86"/>
        <v>0</v>
      </c>
      <c r="T273" s="37">
        <f t="shared" si="86"/>
        <v>0</v>
      </c>
      <c r="U273" s="38">
        <f t="shared" si="86"/>
        <v>0</v>
      </c>
      <c r="V273" s="19">
        <f t="shared" si="68"/>
        <v>0</v>
      </c>
      <c r="W273" s="37">
        <f>SUM(W274:W275)</f>
        <v>0</v>
      </c>
      <c r="X273" s="65" t="e">
        <f t="shared" si="67"/>
        <v>#DIV/0!</v>
      </c>
    </row>
    <row r="274" spans="1:24" ht="12.75" customHeight="1" hidden="1">
      <c r="A274" s="16"/>
      <c r="B274" s="28"/>
      <c r="C274" s="29"/>
      <c r="D274" s="22"/>
      <c r="E274" s="29"/>
      <c r="F274" s="22" t="s">
        <v>14</v>
      </c>
      <c r="G274" s="39" t="s">
        <v>180</v>
      </c>
      <c r="H274" s="20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6">
        <f t="shared" si="82"/>
        <v>0</v>
      </c>
      <c r="V274" s="20">
        <f t="shared" si="68"/>
        <v>0</v>
      </c>
      <c r="W274" s="35"/>
      <c r="X274" s="65" t="e">
        <f t="shared" si="67"/>
        <v>#DIV/0!</v>
      </c>
    </row>
    <row r="275" spans="1:24" ht="12.75" customHeight="1" hidden="1">
      <c r="A275" s="16"/>
      <c r="B275" s="28"/>
      <c r="C275" s="29"/>
      <c r="D275" s="22"/>
      <c r="E275" s="29"/>
      <c r="F275" s="21" t="s">
        <v>17</v>
      </c>
      <c r="G275" s="39" t="s">
        <v>181</v>
      </c>
      <c r="H275" s="20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6">
        <f t="shared" si="82"/>
        <v>0</v>
      </c>
      <c r="V275" s="20">
        <f t="shared" si="68"/>
        <v>0</v>
      </c>
      <c r="W275" s="35"/>
      <c r="X275" s="65" t="e">
        <f t="shared" si="67"/>
        <v>#DIV/0!</v>
      </c>
    </row>
    <row r="276" spans="1:24" ht="12.75" customHeight="1" hidden="1">
      <c r="A276" s="16"/>
      <c r="B276" s="28"/>
      <c r="C276" s="29"/>
      <c r="D276" s="22"/>
      <c r="E276" s="29" t="s">
        <v>182</v>
      </c>
      <c r="F276" s="21"/>
      <c r="G276" s="39" t="s">
        <v>183</v>
      </c>
      <c r="H276" s="19">
        <f>SUM(H277:H284)</f>
        <v>0</v>
      </c>
      <c r="I276" s="37">
        <f aca="true" t="shared" si="87" ref="I276:U276">SUM(I277:I284)</f>
        <v>0</v>
      </c>
      <c r="J276" s="37">
        <f t="shared" si="87"/>
        <v>0</v>
      </c>
      <c r="K276" s="37">
        <f t="shared" si="87"/>
        <v>0</v>
      </c>
      <c r="L276" s="37">
        <f t="shared" si="87"/>
        <v>0</v>
      </c>
      <c r="M276" s="37">
        <f t="shared" si="87"/>
        <v>0</v>
      </c>
      <c r="N276" s="37">
        <f t="shared" si="87"/>
        <v>0</v>
      </c>
      <c r="O276" s="37">
        <f t="shared" si="87"/>
        <v>0</v>
      </c>
      <c r="P276" s="37">
        <f t="shared" si="87"/>
        <v>0</v>
      </c>
      <c r="Q276" s="37">
        <f t="shared" si="87"/>
        <v>0</v>
      </c>
      <c r="R276" s="37">
        <f t="shared" si="87"/>
        <v>0</v>
      </c>
      <c r="S276" s="37">
        <f t="shared" si="87"/>
        <v>0</v>
      </c>
      <c r="T276" s="37">
        <f t="shared" si="87"/>
        <v>0</v>
      </c>
      <c r="U276" s="38">
        <f t="shared" si="87"/>
        <v>0</v>
      </c>
      <c r="V276" s="19">
        <f t="shared" si="68"/>
        <v>0</v>
      </c>
      <c r="W276" s="37">
        <f>SUM(W277:W284)</f>
        <v>0</v>
      </c>
      <c r="X276" s="65" t="e">
        <f t="shared" si="67"/>
        <v>#DIV/0!</v>
      </c>
    </row>
    <row r="277" spans="1:24" ht="12.75" customHeight="1" hidden="1">
      <c r="A277" s="16"/>
      <c r="B277" s="28"/>
      <c r="C277" s="29"/>
      <c r="D277" s="22"/>
      <c r="E277" s="29"/>
      <c r="F277" s="21" t="s">
        <v>14</v>
      </c>
      <c r="G277" s="39" t="s">
        <v>184</v>
      </c>
      <c r="H277" s="20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6">
        <f t="shared" si="82"/>
        <v>0</v>
      </c>
      <c r="V277" s="20">
        <f t="shared" si="68"/>
        <v>0</v>
      </c>
      <c r="W277" s="35"/>
      <c r="X277" s="65" t="e">
        <f t="shared" si="67"/>
        <v>#DIV/0!</v>
      </c>
    </row>
    <row r="278" spans="1:24" ht="12.75" customHeight="1" hidden="1">
      <c r="A278" s="16"/>
      <c r="B278" s="28"/>
      <c r="C278" s="29"/>
      <c r="D278" s="22"/>
      <c r="E278" s="29"/>
      <c r="F278" s="21" t="s">
        <v>17</v>
      </c>
      <c r="G278" s="39" t="s">
        <v>185</v>
      </c>
      <c r="H278" s="20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6">
        <f t="shared" si="82"/>
        <v>0</v>
      </c>
      <c r="V278" s="20">
        <f t="shared" si="68"/>
        <v>0</v>
      </c>
      <c r="W278" s="35"/>
      <c r="X278" s="65" t="e">
        <f t="shared" si="67"/>
        <v>#DIV/0!</v>
      </c>
    </row>
    <row r="279" spans="1:24" ht="12.75" customHeight="1" hidden="1">
      <c r="A279" s="16"/>
      <c r="B279" s="28"/>
      <c r="C279" s="29"/>
      <c r="D279" s="22"/>
      <c r="E279" s="29"/>
      <c r="F279" s="21" t="s">
        <v>22</v>
      </c>
      <c r="G279" s="39" t="s">
        <v>186</v>
      </c>
      <c r="H279" s="20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6">
        <f t="shared" si="82"/>
        <v>0</v>
      </c>
      <c r="V279" s="20">
        <f t="shared" si="68"/>
        <v>0</v>
      </c>
      <c r="W279" s="35"/>
      <c r="X279" s="65" t="e">
        <f t="shared" si="67"/>
        <v>#DIV/0!</v>
      </c>
    </row>
    <row r="280" spans="1:24" ht="22.5" customHeight="1" hidden="1">
      <c r="A280" s="16"/>
      <c r="B280" s="28"/>
      <c r="C280" s="29"/>
      <c r="D280" s="22"/>
      <c r="E280" s="29"/>
      <c r="F280" s="21" t="s">
        <v>28</v>
      </c>
      <c r="G280" s="40" t="s">
        <v>187</v>
      </c>
      <c r="H280" s="20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6">
        <f t="shared" si="82"/>
        <v>0</v>
      </c>
      <c r="V280" s="20">
        <f t="shared" si="68"/>
        <v>0</v>
      </c>
      <c r="W280" s="35"/>
      <c r="X280" s="65" t="e">
        <f t="shared" si="67"/>
        <v>#DIV/0!</v>
      </c>
    </row>
    <row r="281" spans="1:24" ht="12.75" customHeight="1" hidden="1">
      <c r="A281" s="16"/>
      <c r="B281" s="28"/>
      <c r="C281" s="29"/>
      <c r="D281" s="22"/>
      <c r="E281" s="29"/>
      <c r="F281" s="21" t="s">
        <v>54</v>
      </c>
      <c r="G281" s="39" t="s">
        <v>188</v>
      </c>
      <c r="H281" s="20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6">
        <f t="shared" si="82"/>
        <v>0</v>
      </c>
      <c r="V281" s="20">
        <f t="shared" si="68"/>
        <v>0</v>
      </c>
      <c r="W281" s="35"/>
      <c r="X281" s="65" t="e">
        <f t="shared" si="67"/>
        <v>#DIV/0!</v>
      </c>
    </row>
    <row r="282" spans="1:24" ht="12.75" customHeight="1" hidden="1">
      <c r="A282" s="16"/>
      <c r="B282" s="28"/>
      <c r="C282" s="29"/>
      <c r="D282" s="22"/>
      <c r="E282" s="29"/>
      <c r="F282" s="21" t="s">
        <v>57</v>
      </c>
      <c r="G282" s="39" t="s">
        <v>189</v>
      </c>
      <c r="H282" s="20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6">
        <f t="shared" si="82"/>
        <v>0</v>
      </c>
      <c r="V282" s="20">
        <f t="shared" si="68"/>
        <v>0</v>
      </c>
      <c r="W282" s="35"/>
      <c r="X282" s="65" t="e">
        <f t="shared" si="67"/>
        <v>#DIV/0!</v>
      </c>
    </row>
    <row r="283" spans="1:24" ht="12.75" customHeight="1" hidden="1">
      <c r="A283" s="16"/>
      <c r="B283" s="28"/>
      <c r="C283" s="29"/>
      <c r="D283" s="22"/>
      <c r="E283" s="29"/>
      <c r="F283" s="21" t="s">
        <v>61</v>
      </c>
      <c r="G283" s="39" t="s">
        <v>190</v>
      </c>
      <c r="H283" s="20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6">
        <f t="shared" si="82"/>
        <v>0</v>
      </c>
      <c r="V283" s="20">
        <f t="shared" si="68"/>
        <v>0</v>
      </c>
      <c r="W283" s="35"/>
      <c r="X283" s="65" t="e">
        <f aca="true" t="shared" si="88" ref="X283:X346">SUM(V283/I283)*100</f>
        <v>#DIV/0!</v>
      </c>
    </row>
    <row r="284" spans="1:24" ht="12.75" customHeight="1" hidden="1">
      <c r="A284" s="16"/>
      <c r="B284" s="28"/>
      <c r="C284" s="29"/>
      <c r="D284" s="22"/>
      <c r="E284" s="29"/>
      <c r="F284" s="21" t="s">
        <v>30</v>
      </c>
      <c r="G284" s="39" t="s">
        <v>191</v>
      </c>
      <c r="H284" s="20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6">
        <f t="shared" si="82"/>
        <v>0</v>
      </c>
      <c r="V284" s="20">
        <f t="shared" si="68"/>
        <v>0</v>
      </c>
      <c r="W284" s="35"/>
      <c r="X284" s="65" t="e">
        <f t="shared" si="88"/>
        <v>#DIV/0!</v>
      </c>
    </row>
    <row r="285" spans="1:24" ht="12.75" customHeight="1" hidden="1">
      <c r="A285" s="16"/>
      <c r="B285" s="28"/>
      <c r="C285" s="29"/>
      <c r="D285" s="22"/>
      <c r="E285" s="29" t="s">
        <v>192</v>
      </c>
      <c r="F285" s="21"/>
      <c r="G285" s="39" t="s">
        <v>193</v>
      </c>
      <c r="H285" s="19">
        <f aca="true" t="shared" si="89" ref="H285:W285">SUM(H286)</f>
        <v>0</v>
      </c>
      <c r="I285" s="37">
        <f t="shared" si="89"/>
        <v>0</v>
      </c>
      <c r="J285" s="37">
        <f t="shared" si="89"/>
        <v>0</v>
      </c>
      <c r="K285" s="37">
        <f t="shared" si="89"/>
        <v>0</v>
      </c>
      <c r="L285" s="37">
        <f t="shared" si="89"/>
        <v>0</v>
      </c>
      <c r="M285" s="37">
        <f t="shared" si="89"/>
        <v>0</v>
      </c>
      <c r="N285" s="37">
        <f t="shared" si="89"/>
        <v>0</v>
      </c>
      <c r="O285" s="37">
        <f t="shared" si="89"/>
        <v>0</v>
      </c>
      <c r="P285" s="37">
        <f t="shared" si="89"/>
        <v>0</v>
      </c>
      <c r="Q285" s="37">
        <f t="shared" si="89"/>
        <v>0</v>
      </c>
      <c r="R285" s="37">
        <f t="shared" si="89"/>
        <v>0</v>
      </c>
      <c r="S285" s="37">
        <f t="shared" si="89"/>
        <v>0</v>
      </c>
      <c r="T285" s="37">
        <f t="shared" si="89"/>
        <v>0</v>
      </c>
      <c r="U285" s="38">
        <f t="shared" si="89"/>
        <v>0</v>
      </c>
      <c r="V285" s="19">
        <f t="shared" si="68"/>
        <v>0</v>
      </c>
      <c r="W285" s="37">
        <f t="shared" si="89"/>
        <v>0</v>
      </c>
      <c r="X285" s="65" t="e">
        <f t="shared" si="88"/>
        <v>#DIV/0!</v>
      </c>
    </row>
    <row r="286" spans="1:24" ht="12.75" customHeight="1" hidden="1">
      <c r="A286" s="16"/>
      <c r="B286" s="28"/>
      <c r="C286" s="29"/>
      <c r="D286" s="22"/>
      <c r="E286" s="29"/>
      <c r="F286" s="21" t="s">
        <v>14</v>
      </c>
      <c r="G286" s="39" t="s">
        <v>194</v>
      </c>
      <c r="H286" s="20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6">
        <f t="shared" si="82"/>
        <v>0</v>
      </c>
      <c r="V286" s="20">
        <f aca="true" t="shared" si="90" ref="V286:V349">H286-U286</f>
        <v>0</v>
      </c>
      <c r="W286" s="35"/>
      <c r="X286" s="65" t="e">
        <f t="shared" si="88"/>
        <v>#DIV/0!</v>
      </c>
    </row>
    <row r="287" spans="1:24" ht="12.75" customHeight="1" hidden="1">
      <c r="A287" s="16"/>
      <c r="B287" s="28"/>
      <c r="C287" s="29"/>
      <c r="D287" s="22"/>
      <c r="E287" s="29" t="s">
        <v>195</v>
      </c>
      <c r="F287" s="21"/>
      <c r="G287" s="39" t="s">
        <v>196</v>
      </c>
      <c r="H287" s="19">
        <f aca="true" t="shared" si="91" ref="H287:W287">SUM(H288)</f>
        <v>0</v>
      </c>
      <c r="I287" s="37">
        <f t="shared" si="91"/>
        <v>0</v>
      </c>
      <c r="J287" s="37">
        <f t="shared" si="91"/>
        <v>0</v>
      </c>
      <c r="K287" s="37">
        <f t="shared" si="91"/>
        <v>0</v>
      </c>
      <c r="L287" s="37">
        <f t="shared" si="91"/>
        <v>0</v>
      </c>
      <c r="M287" s="37">
        <f t="shared" si="91"/>
        <v>0</v>
      </c>
      <c r="N287" s="37">
        <f t="shared" si="91"/>
        <v>0</v>
      </c>
      <c r="O287" s="37">
        <f t="shared" si="91"/>
        <v>0</v>
      </c>
      <c r="P287" s="37">
        <f t="shared" si="91"/>
        <v>0</v>
      </c>
      <c r="Q287" s="37">
        <f t="shared" si="91"/>
        <v>0</v>
      </c>
      <c r="R287" s="37">
        <f t="shared" si="91"/>
        <v>0</v>
      </c>
      <c r="S287" s="37">
        <f t="shared" si="91"/>
        <v>0</v>
      </c>
      <c r="T287" s="37">
        <f t="shared" si="91"/>
        <v>0</v>
      </c>
      <c r="U287" s="38">
        <f t="shared" si="91"/>
        <v>0</v>
      </c>
      <c r="V287" s="19">
        <f t="shared" si="90"/>
        <v>0</v>
      </c>
      <c r="W287" s="37">
        <f t="shared" si="91"/>
        <v>0</v>
      </c>
      <c r="X287" s="65" t="e">
        <f t="shared" si="88"/>
        <v>#DIV/0!</v>
      </c>
    </row>
    <row r="288" spans="1:24" ht="12.75" customHeight="1" hidden="1">
      <c r="A288" s="16"/>
      <c r="B288" s="28"/>
      <c r="C288" s="29"/>
      <c r="D288" s="22"/>
      <c r="E288" s="29"/>
      <c r="F288" s="21" t="s">
        <v>14</v>
      </c>
      <c r="G288" s="39" t="s">
        <v>197</v>
      </c>
      <c r="H288" s="20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6">
        <f t="shared" si="82"/>
        <v>0</v>
      </c>
      <c r="V288" s="20">
        <f t="shared" si="90"/>
        <v>0</v>
      </c>
      <c r="W288" s="35"/>
      <c r="X288" s="65" t="e">
        <f t="shared" si="88"/>
        <v>#DIV/0!</v>
      </c>
    </row>
    <row r="289" spans="1:24" ht="12.75" customHeight="1" hidden="1">
      <c r="A289" s="16"/>
      <c r="B289" s="28"/>
      <c r="C289" s="29"/>
      <c r="D289" s="22"/>
      <c r="E289" s="29" t="s">
        <v>282</v>
      </c>
      <c r="F289" s="21"/>
      <c r="G289" s="39" t="s">
        <v>199</v>
      </c>
      <c r="H289" s="19">
        <f>SUM(H290:H297)</f>
        <v>0</v>
      </c>
      <c r="I289" s="37">
        <f aca="true" t="shared" si="92" ref="I289:U289">SUM(I290:I297)</f>
        <v>0</v>
      </c>
      <c r="J289" s="37">
        <f t="shared" si="92"/>
        <v>0</v>
      </c>
      <c r="K289" s="37">
        <f t="shared" si="92"/>
        <v>0</v>
      </c>
      <c r="L289" s="37">
        <f t="shared" si="92"/>
        <v>0</v>
      </c>
      <c r="M289" s="37">
        <f t="shared" si="92"/>
        <v>0</v>
      </c>
      <c r="N289" s="37">
        <f t="shared" si="92"/>
        <v>0</v>
      </c>
      <c r="O289" s="37">
        <f t="shared" si="92"/>
        <v>0</v>
      </c>
      <c r="P289" s="37">
        <f t="shared" si="92"/>
        <v>0</v>
      </c>
      <c r="Q289" s="37">
        <f t="shared" si="92"/>
        <v>0</v>
      </c>
      <c r="R289" s="37">
        <f t="shared" si="92"/>
        <v>0</v>
      </c>
      <c r="S289" s="37">
        <f t="shared" si="92"/>
        <v>0</v>
      </c>
      <c r="T289" s="37">
        <f t="shared" si="92"/>
        <v>0</v>
      </c>
      <c r="U289" s="38">
        <f t="shared" si="92"/>
        <v>0</v>
      </c>
      <c r="V289" s="19">
        <f t="shared" si="90"/>
        <v>0</v>
      </c>
      <c r="W289" s="37">
        <f>SUM(W290:W297)</f>
        <v>0</v>
      </c>
      <c r="X289" s="65" t="e">
        <f t="shared" si="88"/>
        <v>#DIV/0!</v>
      </c>
    </row>
    <row r="290" spans="1:24" ht="12.75" customHeight="1" hidden="1">
      <c r="A290" s="16"/>
      <c r="B290" s="28"/>
      <c r="C290" s="29"/>
      <c r="D290" s="22"/>
      <c r="E290" s="29"/>
      <c r="F290" s="21" t="s">
        <v>14</v>
      </c>
      <c r="G290" s="39" t="s">
        <v>200</v>
      </c>
      <c r="H290" s="20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6">
        <f t="shared" si="82"/>
        <v>0</v>
      </c>
      <c r="V290" s="20">
        <f t="shared" si="90"/>
        <v>0</v>
      </c>
      <c r="W290" s="35"/>
      <c r="X290" s="65" t="e">
        <f t="shared" si="88"/>
        <v>#DIV/0!</v>
      </c>
    </row>
    <row r="291" spans="1:24" ht="12.75" customHeight="1" hidden="1">
      <c r="A291" s="16"/>
      <c r="B291" s="28"/>
      <c r="C291" s="29"/>
      <c r="D291" s="22"/>
      <c r="E291" s="29"/>
      <c r="F291" s="21" t="s">
        <v>17</v>
      </c>
      <c r="G291" s="39" t="s">
        <v>201</v>
      </c>
      <c r="H291" s="20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6">
        <f t="shared" si="82"/>
        <v>0</v>
      </c>
      <c r="V291" s="20">
        <f t="shared" si="90"/>
        <v>0</v>
      </c>
      <c r="W291" s="35"/>
      <c r="X291" s="65" t="e">
        <f t="shared" si="88"/>
        <v>#DIV/0!</v>
      </c>
    </row>
    <row r="292" spans="1:24" ht="12.75" customHeight="1" hidden="1">
      <c r="A292" s="16"/>
      <c r="B292" s="28"/>
      <c r="C292" s="29"/>
      <c r="D292" s="22"/>
      <c r="E292" s="29"/>
      <c r="F292" s="21" t="s">
        <v>22</v>
      </c>
      <c r="G292" s="39" t="s">
        <v>202</v>
      </c>
      <c r="H292" s="20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6">
        <f t="shared" si="82"/>
        <v>0</v>
      </c>
      <c r="V292" s="20">
        <f t="shared" si="90"/>
        <v>0</v>
      </c>
      <c r="W292" s="35"/>
      <c r="X292" s="65" t="e">
        <f t="shared" si="88"/>
        <v>#DIV/0!</v>
      </c>
    </row>
    <row r="293" spans="1:24" ht="12.75" customHeight="1" hidden="1">
      <c r="A293" s="16"/>
      <c r="B293" s="28"/>
      <c r="C293" s="29"/>
      <c r="D293" s="22"/>
      <c r="E293" s="29"/>
      <c r="F293" s="21" t="s">
        <v>28</v>
      </c>
      <c r="G293" s="39" t="s">
        <v>203</v>
      </c>
      <c r="H293" s="20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6">
        <f t="shared" si="82"/>
        <v>0</v>
      </c>
      <c r="V293" s="20">
        <f t="shared" si="90"/>
        <v>0</v>
      </c>
      <c r="W293" s="35"/>
      <c r="X293" s="65" t="e">
        <f t="shared" si="88"/>
        <v>#DIV/0!</v>
      </c>
    </row>
    <row r="294" spans="1:24" ht="12.75" customHeight="1" hidden="1">
      <c r="A294" s="16"/>
      <c r="B294" s="28"/>
      <c r="C294" s="29"/>
      <c r="D294" s="22"/>
      <c r="E294" s="29"/>
      <c r="F294" s="21" t="s">
        <v>54</v>
      </c>
      <c r="G294" s="39" t="s">
        <v>204</v>
      </c>
      <c r="H294" s="20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6">
        <f t="shared" si="82"/>
        <v>0</v>
      </c>
      <c r="V294" s="20">
        <f t="shared" si="90"/>
        <v>0</v>
      </c>
      <c r="W294" s="35"/>
      <c r="X294" s="65" t="e">
        <f t="shared" si="88"/>
        <v>#DIV/0!</v>
      </c>
    </row>
    <row r="295" spans="1:24" ht="12.75" customHeight="1" hidden="1">
      <c r="A295" s="16"/>
      <c r="B295" s="28"/>
      <c r="C295" s="29"/>
      <c r="D295" s="22"/>
      <c r="E295" s="29"/>
      <c r="F295" s="21" t="s">
        <v>57</v>
      </c>
      <c r="G295" s="39" t="s">
        <v>205</v>
      </c>
      <c r="H295" s="20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6">
        <f t="shared" si="82"/>
        <v>0</v>
      </c>
      <c r="V295" s="20">
        <f t="shared" si="90"/>
        <v>0</v>
      </c>
      <c r="W295" s="35"/>
      <c r="X295" s="65" t="e">
        <f t="shared" si="88"/>
        <v>#DIV/0!</v>
      </c>
    </row>
    <row r="296" spans="1:24" ht="12.75" customHeight="1" hidden="1">
      <c r="A296" s="16"/>
      <c r="B296" s="28"/>
      <c r="C296" s="29"/>
      <c r="D296" s="22"/>
      <c r="E296" s="29"/>
      <c r="F296" s="21" t="s">
        <v>61</v>
      </c>
      <c r="G296" s="39" t="s">
        <v>206</v>
      </c>
      <c r="H296" s="20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6">
        <f t="shared" si="82"/>
        <v>0</v>
      </c>
      <c r="V296" s="20">
        <f t="shared" si="90"/>
        <v>0</v>
      </c>
      <c r="W296" s="35"/>
      <c r="X296" s="65" t="e">
        <f t="shared" si="88"/>
        <v>#DIV/0!</v>
      </c>
    </row>
    <row r="297" spans="1:24" ht="12.75" customHeight="1" hidden="1">
      <c r="A297" s="16"/>
      <c r="B297" s="28"/>
      <c r="C297" s="29"/>
      <c r="D297" s="22"/>
      <c r="E297" s="29"/>
      <c r="F297" s="21" t="s">
        <v>30</v>
      </c>
      <c r="G297" s="39" t="s">
        <v>207</v>
      </c>
      <c r="H297" s="20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6">
        <f t="shared" si="82"/>
        <v>0</v>
      </c>
      <c r="V297" s="20">
        <f t="shared" si="90"/>
        <v>0</v>
      </c>
      <c r="W297" s="35"/>
      <c r="X297" s="65" t="e">
        <f t="shared" si="88"/>
        <v>#DIV/0!</v>
      </c>
    </row>
    <row r="298" spans="1:24" ht="12.75" customHeight="1" hidden="1">
      <c r="A298" s="16"/>
      <c r="B298" s="28"/>
      <c r="C298" s="29"/>
      <c r="D298" s="22"/>
      <c r="E298" s="29" t="s">
        <v>198</v>
      </c>
      <c r="F298" s="21"/>
      <c r="G298" s="39" t="s">
        <v>283</v>
      </c>
      <c r="H298" s="19">
        <f>SUM(H299:H300)</f>
        <v>0</v>
      </c>
      <c r="I298" s="37">
        <f aca="true" t="shared" si="93" ref="I298:U298">SUM(I299:I300)</f>
        <v>0</v>
      </c>
      <c r="J298" s="37">
        <f t="shared" si="93"/>
        <v>0</v>
      </c>
      <c r="K298" s="37">
        <f t="shared" si="93"/>
        <v>0</v>
      </c>
      <c r="L298" s="37">
        <f t="shared" si="93"/>
        <v>0</v>
      </c>
      <c r="M298" s="37">
        <f t="shared" si="93"/>
        <v>0</v>
      </c>
      <c r="N298" s="37">
        <f t="shared" si="93"/>
        <v>0</v>
      </c>
      <c r="O298" s="37">
        <f t="shared" si="93"/>
        <v>0</v>
      </c>
      <c r="P298" s="37">
        <f t="shared" si="93"/>
        <v>0</v>
      </c>
      <c r="Q298" s="37">
        <f t="shared" si="93"/>
        <v>0</v>
      </c>
      <c r="R298" s="37">
        <f t="shared" si="93"/>
        <v>0</v>
      </c>
      <c r="S298" s="37">
        <f t="shared" si="93"/>
        <v>0</v>
      </c>
      <c r="T298" s="37">
        <f t="shared" si="93"/>
        <v>0</v>
      </c>
      <c r="U298" s="38">
        <f t="shared" si="93"/>
        <v>0</v>
      </c>
      <c r="V298" s="19">
        <f t="shared" si="90"/>
        <v>0</v>
      </c>
      <c r="W298" s="37">
        <f>SUM(W299:W300)</f>
        <v>0</v>
      </c>
      <c r="X298" s="65" t="e">
        <f t="shared" si="88"/>
        <v>#DIV/0!</v>
      </c>
    </row>
    <row r="299" spans="1:24" ht="12.75" customHeight="1" hidden="1">
      <c r="A299" s="16"/>
      <c r="B299" s="28"/>
      <c r="C299" s="29"/>
      <c r="D299" s="22"/>
      <c r="E299" s="29"/>
      <c r="F299" s="21" t="s">
        <v>14</v>
      </c>
      <c r="G299" s="39" t="s">
        <v>284</v>
      </c>
      <c r="H299" s="20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6">
        <f t="shared" si="82"/>
        <v>0</v>
      </c>
      <c r="V299" s="20">
        <f t="shared" si="90"/>
        <v>0</v>
      </c>
      <c r="W299" s="35"/>
      <c r="X299" s="65" t="e">
        <f t="shared" si="88"/>
        <v>#DIV/0!</v>
      </c>
    </row>
    <row r="300" spans="1:24" ht="12.75" customHeight="1" hidden="1">
      <c r="A300" s="16"/>
      <c r="B300" s="28"/>
      <c r="C300" s="29"/>
      <c r="D300" s="22"/>
      <c r="E300" s="29"/>
      <c r="F300" s="21" t="s">
        <v>30</v>
      </c>
      <c r="G300" s="39" t="s">
        <v>211</v>
      </c>
      <c r="H300" s="20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6">
        <f t="shared" si="82"/>
        <v>0</v>
      </c>
      <c r="V300" s="20">
        <f t="shared" si="90"/>
        <v>0</v>
      </c>
      <c r="W300" s="35"/>
      <c r="X300" s="65" t="e">
        <f t="shared" si="88"/>
        <v>#DIV/0!</v>
      </c>
    </row>
    <row r="301" spans="1:24" ht="12.75" customHeight="1" hidden="1">
      <c r="A301" s="16"/>
      <c r="B301" s="28"/>
      <c r="C301" s="29"/>
      <c r="D301" s="22"/>
      <c r="E301" s="29" t="s">
        <v>285</v>
      </c>
      <c r="F301" s="21"/>
      <c r="G301" s="39" t="s">
        <v>213</v>
      </c>
      <c r="H301" s="19">
        <f>SUM(H302:H303)</f>
        <v>0</v>
      </c>
      <c r="I301" s="37">
        <f aca="true" t="shared" si="94" ref="I301:U301">SUM(I302:I303)</f>
        <v>0</v>
      </c>
      <c r="J301" s="37">
        <f t="shared" si="94"/>
        <v>0</v>
      </c>
      <c r="K301" s="37">
        <f t="shared" si="94"/>
        <v>0</v>
      </c>
      <c r="L301" s="37">
        <f t="shared" si="94"/>
        <v>0</v>
      </c>
      <c r="M301" s="37">
        <f t="shared" si="94"/>
        <v>0</v>
      </c>
      <c r="N301" s="37">
        <f t="shared" si="94"/>
        <v>0</v>
      </c>
      <c r="O301" s="37">
        <f t="shared" si="94"/>
        <v>0</v>
      </c>
      <c r="P301" s="37">
        <f t="shared" si="94"/>
        <v>0</v>
      </c>
      <c r="Q301" s="37">
        <f t="shared" si="94"/>
        <v>0</v>
      </c>
      <c r="R301" s="37">
        <f t="shared" si="94"/>
        <v>0</v>
      </c>
      <c r="S301" s="37">
        <f t="shared" si="94"/>
        <v>0</v>
      </c>
      <c r="T301" s="37">
        <f t="shared" si="94"/>
        <v>0</v>
      </c>
      <c r="U301" s="38">
        <f t="shared" si="94"/>
        <v>0</v>
      </c>
      <c r="V301" s="19">
        <f t="shared" si="90"/>
        <v>0</v>
      </c>
      <c r="W301" s="37">
        <f>SUM(W302:W303)</f>
        <v>0</v>
      </c>
      <c r="X301" s="65" t="e">
        <f t="shared" si="88"/>
        <v>#DIV/0!</v>
      </c>
    </row>
    <row r="302" spans="1:24" ht="12.75" customHeight="1" hidden="1">
      <c r="A302" s="16"/>
      <c r="B302" s="28"/>
      <c r="C302" s="29"/>
      <c r="D302" s="22"/>
      <c r="E302" s="29"/>
      <c r="F302" s="21" t="s">
        <v>14</v>
      </c>
      <c r="G302" s="39" t="s">
        <v>215</v>
      </c>
      <c r="H302" s="20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6">
        <f t="shared" si="82"/>
        <v>0</v>
      </c>
      <c r="V302" s="20">
        <f t="shared" si="90"/>
        <v>0</v>
      </c>
      <c r="W302" s="35"/>
      <c r="X302" s="65" t="e">
        <f t="shared" si="88"/>
        <v>#DIV/0!</v>
      </c>
    </row>
    <row r="303" spans="1:24" ht="12.75" customHeight="1" hidden="1">
      <c r="A303" s="16"/>
      <c r="B303" s="28"/>
      <c r="C303" s="29"/>
      <c r="D303" s="22"/>
      <c r="E303" s="29"/>
      <c r="F303" s="21" t="s">
        <v>17</v>
      </c>
      <c r="G303" s="39" t="s">
        <v>216</v>
      </c>
      <c r="H303" s="20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6">
        <f t="shared" si="82"/>
        <v>0</v>
      </c>
      <c r="V303" s="20">
        <f t="shared" si="90"/>
        <v>0</v>
      </c>
      <c r="W303" s="35"/>
      <c r="X303" s="65" t="e">
        <f t="shared" si="88"/>
        <v>#DIV/0!</v>
      </c>
    </row>
    <row r="304" spans="1:24" ht="12.75" customHeight="1" hidden="1">
      <c r="A304" s="16"/>
      <c r="B304" s="28"/>
      <c r="C304" s="29"/>
      <c r="D304" s="22"/>
      <c r="E304" s="29" t="s">
        <v>222</v>
      </c>
      <c r="F304" s="21"/>
      <c r="G304" s="39" t="s">
        <v>286</v>
      </c>
      <c r="H304" s="20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6">
        <f t="shared" si="82"/>
        <v>0</v>
      </c>
      <c r="V304" s="20">
        <f t="shared" si="90"/>
        <v>0</v>
      </c>
      <c r="W304" s="35"/>
      <c r="X304" s="65" t="e">
        <f t="shared" si="88"/>
        <v>#DIV/0!</v>
      </c>
    </row>
    <row r="305" spans="1:24" ht="12.75" customHeight="1" hidden="1">
      <c r="A305" s="16"/>
      <c r="B305" s="28"/>
      <c r="C305" s="29"/>
      <c r="D305" s="22"/>
      <c r="E305" s="29" t="s">
        <v>224</v>
      </c>
      <c r="F305" s="21"/>
      <c r="G305" s="39" t="s">
        <v>227</v>
      </c>
      <c r="H305" s="19">
        <f>SUM(H306:H307)</f>
        <v>0</v>
      </c>
      <c r="I305" s="37">
        <f aca="true" t="shared" si="95" ref="I305:U305">SUM(I306:I307)</f>
        <v>0</v>
      </c>
      <c r="J305" s="37">
        <f t="shared" si="95"/>
        <v>0</v>
      </c>
      <c r="K305" s="37">
        <f t="shared" si="95"/>
        <v>0</v>
      </c>
      <c r="L305" s="37">
        <f t="shared" si="95"/>
        <v>0</v>
      </c>
      <c r="M305" s="37">
        <f t="shared" si="95"/>
        <v>0</v>
      </c>
      <c r="N305" s="37">
        <f t="shared" si="95"/>
        <v>0</v>
      </c>
      <c r="O305" s="37">
        <f t="shared" si="95"/>
        <v>0</v>
      </c>
      <c r="P305" s="37">
        <f t="shared" si="95"/>
        <v>0</v>
      </c>
      <c r="Q305" s="37">
        <f t="shared" si="95"/>
        <v>0</v>
      </c>
      <c r="R305" s="37">
        <f t="shared" si="95"/>
        <v>0</v>
      </c>
      <c r="S305" s="37">
        <f t="shared" si="95"/>
        <v>0</v>
      </c>
      <c r="T305" s="37">
        <f t="shared" si="95"/>
        <v>0</v>
      </c>
      <c r="U305" s="38">
        <f t="shared" si="95"/>
        <v>0</v>
      </c>
      <c r="V305" s="19">
        <f t="shared" si="90"/>
        <v>0</v>
      </c>
      <c r="W305" s="37">
        <f>SUM(W306:W307)</f>
        <v>0</v>
      </c>
      <c r="X305" s="65" t="e">
        <f t="shared" si="88"/>
        <v>#DIV/0!</v>
      </c>
    </row>
    <row r="306" spans="1:24" ht="22.5" customHeight="1" hidden="1">
      <c r="A306" s="16"/>
      <c r="B306" s="28"/>
      <c r="C306" s="29"/>
      <c r="D306" s="22"/>
      <c r="E306" s="29"/>
      <c r="F306" s="21" t="s">
        <v>14</v>
      </c>
      <c r="G306" s="40" t="s">
        <v>228</v>
      </c>
      <c r="H306" s="20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6">
        <f t="shared" si="82"/>
        <v>0</v>
      </c>
      <c r="V306" s="20">
        <f t="shared" si="90"/>
        <v>0</v>
      </c>
      <c r="W306" s="35"/>
      <c r="X306" s="65" t="e">
        <f t="shared" si="88"/>
        <v>#DIV/0!</v>
      </c>
    </row>
    <row r="307" spans="1:24" ht="22.5" customHeight="1" hidden="1">
      <c r="A307" s="16"/>
      <c r="B307" s="28"/>
      <c r="C307" s="29"/>
      <c r="D307" s="22"/>
      <c r="E307" s="29"/>
      <c r="F307" s="21" t="s">
        <v>17</v>
      </c>
      <c r="G307" s="40" t="s">
        <v>229</v>
      </c>
      <c r="H307" s="20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6">
        <f t="shared" si="82"/>
        <v>0</v>
      </c>
      <c r="V307" s="20">
        <f t="shared" si="90"/>
        <v>0</v>
      </c>
      <c r="W307" s="35"/>
      <c r="X307" s="65" t="e">
        <f t="shared" si="88"/>
        <v>#DIV/0!</v>
      </c>
    </row>
    <row r="308" spans="1:24" ht="12.75" customHeight="1" hidden="1">
      <c r="A308" s="16"/>
      <c r="B308" s="28"/>
      <c r="C308" s="29"/>
      <c r="D308" s="22"/>
      <c r="E308" s="29" t="s">
        <v>226</v>
      </c>
      <c r="F308" s="21"/>
      <c r="G308" s="39" t="s">
        <v>287</v>
      </c>
      <c r="H308" s="20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6">
        <f t="shared" si="82"/>
        <v>0</v>
      </c>
      <c r="V308" s="20">
        <f t="shared" si="90"/>
        <v>0</v>
      </c>
      <c r="W308" s="35"/>
      <c r="X308" s="65" t="e">
        <f t="shared" si="88"/>
        <v>#DIV/0!</v>
      </c>
    </row>
    <row r="309" spans="1:24" ht="12.75" customHeight="1" hidden="1">
      <c r="A309" s="16"/>
      <c r="B309" s="28"/>
      <c r="C309" s="29"/>
      <c r="D309" s="22"/>
      <c r="E309" s="29" t="s">
        <v>288</v>
      </c>
      <c r="F309" s="21"/>
      <c r="G309" s="39" t="s">
        <v>289</v>
      </c>
      <c r="H309" s="20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6">
        <f t="shared" si="82"/>
        <v>0</v>
      </c>
      <c r="V309" s="20">
        <f t="shared" si="90"/>
        <v>0</v>
      </c>
      <c r="W309" s="35"/>
      <c r="X309" s="65" t="e">
        <f t="shared" si="88"/>
        <v>#DIV/0!</v>
      </c>
    </row>
    <row r="310" spans="1:24" ht="12.75" customHeight="1" hidden="1">
      <c r="A310" s="16"/>
      <c r="B310" s="28"/>
      <c r="C310" s="29"/>
      <c r="D310" s="22"/>
      <c r="E310" s="29" t="s">
        <v>290</v>
      </c>
      <c r="F310" s="21"/>
      <c r="G310" s="39" t="s">
        <v>233</v>
      </c>
      <c r="H310" s="19">
        <f>SUM(H311:H312)</f>
        <v>0</v>
      </c>
      <c r="I310" s="37">
        <f aca="true" t="shared" si="96" ref="I310:U310">SUM(I311:I312)</f>
        <v>0</v>
      </c>
      <c r="J310" s="37">
        <f t="shared" si="96"/>
        <v>0</v>
      </c>
      <c r="K310" s="37">
        <f t="shared" si="96"/>
        <v>0</v>
      </c>
      <c r="L310" s="37">
        <f t="shared" si="96"/>
        <v>0</v>
      </c>
      <c r="M310" s="37">
        <f t="shared" si="96"/>
        <v>0</v>
      </c>
      <c r="N310" s="37">
        <f t="shared" si="96"/>
        <v>0</v>
      </c>
      <c r="O310" s="37">
        <f t="shared" si="96"/>
        <v>0</v>
      </c>
      <c r="P310" s="37">
        <f t="shared" si="96"/>
        <v>0</v>
      </c>
      <c r="Q310" s="37">
        <f t="shared" si="96"/>
        <v>0</v>
      </c>
      <c r="R310" s="37">
        <f t="shared" si="96"/>
        <v>0</v>
      </c>
      <c r="S310" s="37">
        <f t="shared" si="96"/>
        <v>0</v>
      </c>
      <c r="T310" s="37">
        <f t="shared" si="96"/>
        <v>0</v>
      </c>
      <c r="U310" s="38">
        <f t="shared" si="96"/>
        <v>0</v>
      </c>
      <c r="V310" s="19">
        <f t="shared" si="90"/>
        <v>0</v>
      </c>
      <c r="W310" s="37">
        <f>SUM(W311:W312)</f>
        <v>0</v>
      </c>
      <c r="X310" s="65" t="e">
        <f t="shared" si="88"/>
        <v>#DIV/0!</v>
      </c>
    </row>
    <row r="311" spans="1:24" ht="12.75" customHeight="1" hidden="1">
      <c r="A311" s="16"/>
      <c r="B311" s="28"/>
      <c r="C311" s="29"/>
      <c r="D311" s="22"/>
      <c r="E311" s="29"/>
      <c r="F311" s="21" t="s">
        <v>14</v>
      </c>
      <c r="G311" s="39" t="s">
        <v>234</v>
      </c>
      <c r="H311" s="20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6">
        <f t="shared" si="82"/>
        <v>0</v>
      </c>
      <c r="V311" s="20">
        <f t="shared" si="90"/>
        <v>0</v>
      </c>
      <c r="W311" s="35"/>
      <c r="X311" s="65" t="e">
        <f t="shared" si="88"/>
        <v>#DIV/0!</v>
      </c>
    </row>
    <row r="312" spans="1:24" ht="12.75" customHeight="1" hidden="1">
      <c r="A312" s="16"/>
      <c r="B312" s="28"/>
      <c r="C312" s="29"/>
      <c r="D312" s="22"/>
      <c r="E312" s="29"/>
      <c r="F312" s="21" t="s">
        <v>17</v>
      </c>
      <c r="G312" s="39" t="s">
        <v>235</v>
      </c>
      <c r="H312" s="20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6">
        <f t="shared" si="82"/>
        <v>0</v>
      </c>
      <c r="V312" s="20">
        <f t="shared" si="90"/>
        <v>0</v>
      </c>
      <c r="W312" s="35"/>
      <c r="X312" s="65" t="e">
        <f t="shared" si="88"/>
        <v>#DIV/0!</v>
      </c>
    </row>
    <row r="313" spans="1:24" ht="12.75" customHeight="1" hidden="1">
      <c r="A313" s="16"/>
      <c r="B313" s="28"/>
      <c r="C313" s="29"/>
      <c r="D313" s="22"/>
      <c r="E313" s="29" t="s">
        <v>232</v>
      </c>
      <c r="F313" s="21"/>
      <c r="G313" s="39" t="s">
        <v>237</v>
      </c>
      <c r="H313" s="20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6">
        <f t="shared" si="82"/>
        <v>0</v>
      </c>
      <c r="V313" s="20">
        <f t="shared" si="90"/>
        <v>0</v>
      </c>
      <c r="W313" s="35"/>
      <c r="X313" s="65" t="e">
        <f t="shared" si="88"/>
        <v>#DIV/0!</v>
      </c>
    </row>
    <row r="314" spans="1:24" ht="12.75" customHeight="1" hidden="1">
      <c r="A314" s="16"/>
      <c r="B314" s="28"/>
      <c r="C314" s="29"/>
      <c r="D314" s="22"/>
      <c r="E314" s="29" t="s">
        <v>291</v>
      </c>
      <c r="F314" s="21"/>
      <c r="G314" s="39" t="s">
        <v>239</v>
      </c>
      <c r="H314" s="20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6">
        <f t="shared" si="82"/>
        <v>0</v>
      </c>
      <c r="V314" s="20">
        <f t="shared" si="90"/>
        <v>0</v>
      </c>
      <c r="W314" s="35"/>
      <c r="X314" s="65" t="e">
        <f t="shared" si="88"/>
        <v>#DIV/0!</v>
      </c>
    </row>
    <row r="315" spans="1:24" ht="12.75" customHeight="1" hidden="1">
      <c r="A315" s="16"/>
      <c r="B315" s="28"/>
      <c r="C315" s="29"/>
      <c r="D315" s="22"/>
      <c r="E315" s="29" t="s">
        <v>238</v>
      </c>
      <c r="F315" s="21"/>
      <c r="G315" s="39" t="s">
        <v>241</v>
      </c>
      <c r="H315" s="20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6">
        <f t="shared" si="82"/>
        <v>0</v>
      </c>
      <c r="V315" s="20">
        <f t="shared" si="90"/>
        <v>0</v>
      </c>
      <c r="W315" s="35"/>
      <c r="X315" s="65" t="e">
        <f t="shared" si="88"/>
        <v>#DIV/0!</v>
      </c>
    </row>
    <row r="316" spans="1:24" ht="12.75" customHeight="1" hidden="1">
      <c r="A316" s="16"/>
      <c r="B316" s="28"/>
      <c r="C316" s="29"/>
      <c r="D316" s="22"/>
      <c r="E316" s="29" t="s">
        <v>292</v>
      </c>
      <c r="F316" s="21"/>
      <c r="G316" s="39" t="s">
        <v>245</v>
      </c>
      <c r="H316" s="20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6">
        <f t="shared" si="82"/>
        <v>0</v>
      </c>
      <c r="V316" s="20">
        <f t="shared" si="90"/>
        <v>0</v>
      </c>
      <c r="W316" s="35"/>
      <c r="X316" s="65" t="e">
        <f t="shared" si="88"/>
        <v>#DIV/0!</v>
      </c>
    </row>
    <row r="317" spans="1:24" ht="12.75" customHeight="1" hidden="1">
      <c r="A317" s="16"/>
      <c r="B317" s="263"/>
      <c r="C317" s="66"/>
      <c r="D317" s="264"/>
      <c r="E317" s="66" t="s">
        <v>30</v>
      </c>
      <c r="F317" s="44"/>
      <c r="G317" s="39" t="s">
        <v>247</v>
      </c>
      <c r="H317" s="20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6">
        <f t="shared" si="82"/>
        <v>0</v>
      </c>
      <c r="V317" s="20">
        <f t="shared" si="90"/>
        <v>0</v>
      </c>
      <c r="W317" s="35"/>
      <c r="X317" s="65" t="e">
        <f t="shared" si="88"/>
        <v>#DIV/0!</v>
      </c>
    </row>
    <row r="318" spans="1:24" ht="12.75" customHeight="1" hidden="1">
      <c r="A318" s="16"/>
      <c r="B318" s="28" t="s">
        <v>159</v>
      </c>
      <c r="C318" s="29" t="s">
        <v>35</v>
      </c>
      <c r="D318" s="22" t="s">
        <v>17</v>
      </c>
      <c r="E318" s="29"/>
      <c r="F318" s="21"/>
      <c r="G318" s="39" t="s">
        <v>248</v>
      </c>
      <c r="H318" s="19">
        <f>SUM(H319:H320)</f>
        <v>0</v>
      </c>
      <c r="I318" s="37">
        <f aca="true" t="shared" si="97" ref="I318:U318">SUM(I319:I320)</f>
        <v>0</v>
      </c>
      <c r="J318" s="37">
        <f t="shared" si="97"/>
        <v>0</v>
      </c>
      <c r="K318" s="37">
        <f t="shared" si="97"/>
        <v>0</v>
      </c>
      <c r="L318" s="37">
        <f t="shared" si="97"/>
        <v>0</v>
      </c>
      <c r="M318" s="37">
        <f t="shared" si="97"/>
        <v>0</v>
      </c>
      <c r="N318" s="37">
        <f t="shared" si="97"/>
        <v>0</v>
      </c>
      <c r="O318" s="37">
        <f t="shared" si="97"/>
        <v>0</v>
      </c>
      <c r="P318" s="37">
        <f t="shared" si="97"/>
        <v>0</v>
      </c>
      <c r="Q318" s="37">
        <f t="shared" si="97"/>
        <v>0</v>
      </c>
      <c r="R318" s="37">
        <f t="shared" si="97"/>
        <v>0</v>
      </c>
      <c r="S318" s="37">
        <f t="shared" si="97"/>
        <v>0</v>
      </c>
      <c r="T318" s="37">
        <f t="shared" si="97"/>
        <v>0</v>
      </c>
      <c r="U318" s="38">
        <f t="shared" si="97"/>
        <v>0</v>
      </c>
      <c r="V318" s="19">
        <f t="shared" si="90"/>
        <v>0</v>
      </c>
      <c r="W318" s="37">
        <f>SUM(W319:W320)</f>
        <v>0</v>
      </c>
      <c r="X318" s="65" t="e">
        <f t="shared" si="88"/>
        <v>#DIV/0!</v>
      </c>
    </row>
    <row r="319" spans="1:24" ht="12.75" customHeight="1" hidden="1">
      <c r="A319" s="16"/>
      <c r="B319" s="28"/>
      <c r="C319" s="29"/>
      <c r="D319" s="22"/>
      <c r="E319" s="29" t="s">
        <v>14</v>
      </c>
      <c r="F319" s="21"/>
      <c r="G319" s="39" t="s">
        <v>249</v>
      </c>
      <c r="H319" s="20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6">
        <f t="shared" si="82"/>
        <v>0</v>
      </c>
      <c r="V319" s="20">
        <f t="shared" si="90"/>
        <v>0</v>
      </c>
      <c r="W319" s="35"/>
      <c r="X319" s="65" t="e">
        <f t="shared" si="88"/>
        <v>#DIV/0!</v>
      </c>
    </row>
    <row r="320" spans="1:24" ht="12.75" customHeight="1" hidden="1">
      <c r="A320" s="16"/>
      <c r="B320" s="28"/>
      <c r="C320" s="29"/>
      <c r="D320" s="22"/>
      <c r="E320" s="29" t="s">
        <v>17</v>
      </c>
      <c r="F320" s="21"/>
      <c r="G320" s="39" t="s">
        <v>250</v>
      </c>
      <c r="H320" s="20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6">
        <f t="shared" si="82"/>
        <v>0</v>
      </c>
      <c r="V320" s="20">
        <f t="shared" si="90"/>
        <v>0</v>
      </c>
      <c r="W320" s="35"/>
      <c r="X320" s="65" t="e">
        <f t="shared" si="88"/>
        <v>#DIV/0!</v>
      </c>
    </row>
    <row r="321" spans="1:24" ht="12.75" customHeight="1" hidden="1">
      <c r="A321" s="16"/>
      <c r="B321" s="28" t="s">
        <v>159</v>
      </c>
      <c r="C321" s="29" t="s">
        <v>35</v>
      </c>
      <c r="D321" s="22" t="s">
        <v>22</v>
      </c>
      <c r="E321" s="29"/>
      <c r="F321" s="21"/>
      <c r="G321" s="39" t="s">
        <v>251</v>
      </c>
      <c r="H321" s="19">
        <f>SUM(H322+H325+H329)</f>
        <v>0</v>
      </c>
      <c r="I321" s="37">
        <f aca="true" t="shared" si="98" ref="I321:U321">SUM(I322+I325+I329)</f>
        <v>0</v>
      </c>
      <c r="J321" s="37">
        <f t="shared" si="98"/>
        <v>0</v>
      </c>
      <c r="K321" s="37">
        <f t="shared" si="98"/>
        <v>0</v>
      </c>
      <c r="L321" s="37">
        <f t="shared" si="98"/>
        <v>0</v>
      </c>
      <c r="M321" s="37">
        <f t="shared" si="98"/>
        <v>0</v>
      </c>
      <c r="N321" s="37">
        <f t="shared" si="98"/>
        <v>0</v>
      </c>
      <c r="O321" s="37">
        <f t="shared" si="98"/>
        <v>0</v>
      </c>
      <c r="P321" s="37">
        <f t="shared" si="98"/>
        <v>0</v>
      </c>
      <c r="Q321" s="37">
        <f t="shared" si="98"/>
        <v>0</v>
      </c>
      <c r="R321" s="37">
        <f t="shared" si="98"/>
        <v>0</v>
      </c>
      <c r="S321" s="37">
        <f t="shared" si="98"/>
        <v>0</v>
      </c>
      <c r="T321" s="37">
        <f t="shared" si="98"/>
        <v>0</v>
      </c>
      <c r="U321" s="38">
        <f t="shared" si="98"/>
        <v>0</v>
      </c>
      <c r="V321" s="19">
        <f t="shared" si="90"/>
        <v>0</v>
      </c>
      <c r="W321" s="37">
        <f>SUM(W322+W325+W329)</f>
        <v>0</v>
      </c>
      <c r="X321" s="65" t="e">
        <f t="shared" si="88"/>
        <v>#DIV/0!</v>
      </c>
    </row>
    <row r="322" spans="1:24" ht="12.75" customHeight="1" hidden="1">
      <c r="A322" s="16"/>
      <c r="B322" s="28"/>
      <c r="C322" s="29"/>
      <c r="D322" s="22"/>
      <c r="E322" s="29" t="s">
        <v>14</v>
      </c>
      <c r="F322" s="21"/>
      <c r="G322" s="39" t="s">
        <v>252</v>
      </c>
      <c r="H322" s="19">
        <f>SUM(H323:H324)</f>
        <v>0</v>
      </c>
      <c r="I322" s="37">
        <f aca="true" t="shared" si="99" ref="I322:U322">SUM(I323:I324)</f>
        <v>0</v>
      </c>
      <c r="J322" s="37">
        <f t="shared" si="99"/>
        <v>0</v>
      </c>
      <c r="K322" s="37">
        <f t="shared" si="99"/>
        <v>0</v>
      </c>
      <c r="L322" s="37">
        <f t="shared" si="99"/>
        <v>0</v>
      </c>
      <c r="M322" s="37">
        <f t="shared" si="99"/>
        <v>0</v>
      </c>
      <c r="N322" s="37">
        <f t="shared" si="99"/>
        <v>0</v>
      </c>
      <c r="O322" s="37">
        <f t="shared" si="99"/>
        <v>0</v>
      </c>
      <c r="P322" s="37">
        <f t="shared" si="99"/>
        <v>0</v>
      </c>
      <c r="Q322" s="37">
        <f t="shared" si="99"/>
        <v>0</v>
      </c>
      <c r="R322" s="37">
        <f t="shared" si="99"/>
        <v>0</v>
      </c>
      <c r="S322" s="37">
        <f t="shared" si="99"/>
        <v>0</v>
      </c>
      <c r="T322" s="37">
        <f t="shared" si="99"/>
        <v>0</v>
      </c>
      <c r="U322" s="38">
        <f t="shared" si="99"/>
        <v>0</v>
      </c>
      <c r="V322" s="19">
        <f t="shared" si="90"/>
        <v>0</v>
      </c>
      <c r="W322" s="37">
        <f>SUM(W323:W324)</f>
        <v>0</v>
      </c>
      <c r="X322" s="65" t="e">
        <f t="shared" si="88"/>
        <v>#DIV/0!</v>
      </c>
    </row>
    <row r="323" spans="1:24" ht="22.5" customHeight="1" hidden="1">
      <c r="A323" s="16"/>
      <c r="B323" s="28"/>
      <c r="C323" s="29"/>
      <c r="D323" s="22"/>
      <c r="E323" s="29"/>
      <c r="F323" s="21" t="s">
        <v>14</v>
      </c>
      <c r="G323" s="40" t="s">
        <v>253</v>
      </c>
      <c r="H323" s="20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6">
        <f aca="true" t="shared" si="100" ref="U323:U341">SUM(I323:T323)</f>
        <v>0</v>
      </c>
      <c r="V323" s="20">
        <f t="shared" si="90"/>
        <v>0</v>
      </c>
      <c r="W323" s="35"/>
      <c r="X323" s="65" t="e">
        <f t="shared" si="88"/>
        <v>#DIV/0!</v>
      </c>
    </row>
    <row r="324" spans="1:24" ht="12.75" customHeight="1" hidden="1">
      <c r="A324" s="16"/>
      <c r="B324" s="28"/>
      <c r="C324" s="29"/>
      <c r="D324" s="22"/>
      <c r="E324" s="29"/>
      <c r="F324" s="21" t="s">
        <v>17</v>
      </c>
      <c r="G324" s="39" t="s">
        <v>254</v>
      </c>
      <c r="H324" s="20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6">
        <f t="shared" si="100"/>
        <v>0</v>
      </c>
      <c r="V324" s="20">
        <f t="shared" si="90"/>
        <v>0</v>
      </c>
      <c r="W324" s="35"/>
      <c r="X324" s="65" t="e">
        <f t="shared" si="88"/>
        <v>#DIV/0!</v>
      </c>
    </row>
    <row r="325" spans="1:24" ht="12.75" customHeight="1" hidden="1">
      <c r="A325" s="16"/>
      <c r="B325" s="28"/>
      <c r="C325" s="29"/>
      <c r="D325" s="22"/>
      <c r="E325" s="29" t="s">
        <v>17</v>
      </c>
      <c r="F325" s="21"/>
      <c r="G325" s="39" t="s">
        <v>255</v>
      </c>
      <c r="H325" s="19">
        <f>SUM(H326:H328)</f>
        <v>0</v>
      </c>
      <c r="I325" s="37">
        <f aca="true" t="shared" si="101" ref="I325:U325">SUM(I326:I328)</f>
        <v>0</v>
      </c>
      <c r="J325" s="37">
        <f t="shared" si="101"/>
        <v>0</v>
      </c>
      <c r="K325" s="37">
        <f t="shared" si="101"/>
        <v>0</v>
      </c>
      <c r="L325" s="37">
        <f t="shared" si="101"/>
        <v>0</v>
      </c>
      <c r="M325" s="37">
        <f t="shared" si="101"/>
        <v>0</v>
      </c>
      <c r="N325" s="37">
        <f t="shared" si="101"/>
        <v>0</v>
      </c>
      <c r="O325" s="37">
        <f t="shared" si="101"/>
        <v>0</v>
      </c>
      <c r="P325" s="37">
        <f t="shared" si="101"/>
        <v>0</v>
      </c>
      <c r="Q325" s="37">
        <f t="shared" si="101"/>
        <v>0</v>
      </c>
      <c r="R325" s="37">
        <f t="shared" si="101"/>
        <v>0</v>
      </c>
      <c r="S325" s="37">
        <f t="shared" si="101"/>
        <v>0</v>
      </c>
      <c r="T325" s="37">
        <f t="shared" si="101"/>
        <v>0</v>
      </c>
      <c r="U325" s="38">
        <f t="shared" si="101"/>
        <v>0</v>
      </c>
      <c r="V325" s="19">
        <f t="shared" si="90"/>
        <v>0</v>
      </c>
      <c r="W325" s="37">
        <f>SUM(W326:W328)</f>
        <v>0</v>
      </c>
      <c r="X325" s="65" t="e">
        <f t="shared" si="88"/>
        <v>#DIV/0!</v>
      </c>
    </row>
    <row r="326" spans="1:24" ht="22.5" customHeight="1" hidden="1">
      <c r="A326" s="16"/>
      <c r="B326" s="28"/>
      <c r="C326" s="29"/>
      <c r="D326" s="22"/>
      <c r="E326" s="29"/>
      <c r="F326" s="21" t="s">
        <v>14</v>
      </c>
      <c r="G326" s="40" t="s">
        <v>253</v>
      </c>
      <c r="H326" s="20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6">
        <f t="shared" si="100"/>
        <v>0</v>
      </c>
      <c r="V326" s="20">
        <f t="shared" si="90"/>
        <v>0</v>
      </c>
      <c r="W326" s="35"/>
      <c r="X326" s="65" t="e">
        <f t="shared" si="88"/>
        <v>#DIV/0!</v>
      </c>
    </row>
    <row r="327" spans="1:24" ht="12.75" customHeight="1" hidden="1">
      <c r="A327" s="16"/>
      <c r="B327" s="28"/>
      <c r="C327" s="29"/>
      <c r="D327" s="22"/>
      <c r="E327" s="29"/>
      <c r="F327" s="21" t="s">
        <v>17</v>
      </c>
      <c r="G327" s="39" t="s">
        <v>256</v>
      </c>
      <c r="H327" s="20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6">
        <f t="shared" si="100"/>
        <v>0</v>
      </c>
      <c r="V327" s="20">
        <f t="shared" si="90"/>
        <v>0</v>
      </c>
      <c r="W327" s="35"/>
      <c r="X327" s="65" t="e">
        <f t="shared" si="88"/>
        <v>#DIV/0!</v>
      </c>
    </row>
    <row r="328" spans="1:24" ht="22.5" customHeight="1" hidden="1">
      <c r="A328" s="16"/>
      <c r="B328" s="28"/>
      <c r="C328" s="29"/>
      <c r="D328" s="22"/>
      <c r="E328" s="29"/>
      <c r="F328" s="21" t="s">
        <v>22</v>
      </c>
      <c r="G328" s="40" t="s">
        <v>257</v>
      </c>
      <c r="H328" s="20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6">
        <f t="shared" si="100"/>
        <v>0</v>
      </c>
      <c r="V328" s="20">
        <f t="shared" si="90"/>
        <v>0</v>
      </c>
      <c r="W328" s="35"/>
      <c r="X328" s="65" t="e">
        <f t="shared" si="88"/>
        <v>#DIV/0!</v>
      </c>
    </row>
    <row r="329" spans="1:24" ht="12.75" customHeight="1" hidden="1">
      <c r="A329" s="16"/>
      <c r="B329" s="28"/>
      <c r="C329" s="29"/>
      <c r="D329" s="22"/>
      <c r="E329" s="29" t="s">
        <v>22</v>
      </c>
      <c r="F329" s="21"/>
      <c r="G329" s="39" t="s">
        <v>258</v>
      </c>
      <c r="H329" s="19">
        <f>SUM(H330:H333)</f>
        <v>0</v>
      </c>
      <c r="I329" s="37">
        <f aca="true" t="shared" si="102" ref="I329:U329">SUM(I330:I333)</f>
        <v>0</v>
      </c>
      <c r="J329" s="37">
        <f t="shared" si="102"/>
        <v>0</v>
      </c>
      <c r="K329" s="37">
        <f t="shared" si="102"/>
        <v>0</v>
      </c>
      <c r="L329" s="37">
        <f t="shared" si="102"/>
        <v>0</v>
      </c>
      <c r="M329" s="37">
        <f t="shared" si="102"/>
        <v>0</v>
      </c>
      <c r="N329" s="37">
        <f t="shared" si="102"/>
        <v>0</v>
      </c>
      <c r="O329" s="37">
        <f t="shared" si="102"/>
        <v>0</v>
      </c>
      <c r="P329" s="37">
        <f t="shared" si="102"/>
        <v>0</v>
      </c>
      <c r="Q329" s="37">
        <f t="shared" si="102"/>
        <v>0</v>
      </c>
      <c r="R329" s="37">
        <f t="shared" si="102"/>
        <v>0</v>
      </c>
      <c r="S329" s="37">
        <f t="shared" si="102"/>
        <v>0</v>
      </c>
      <c r="T329" s="37">
        <f t="shared" si="102"/>
        <v>0</v>
      </c>
      <c r="U329" s="38">
        <f t="shared" si="102"/>
        <v>0</v>
      </c>
      <c r="V329" s="19">
        <f t="shared" si="90"/>
        <v>0</v>
      </c>
      <c r="W329" s="37">
        <f>SUM(W330:W333)</f>
        <v>0</v>
      </c>
      <c r="X329" s="65" t="e">
        <f t="shared" si="88"/>
        <v>#DIV/0!</v>
      </c>
    </row>
    <row r="330" spans="1:24" ht="12.75" customHeight="1" hidden="1">
      <c r="A330" s="16"/>
      <c r="B330" s="28"/>
      <c r="C330" s="29"/>
      <c r="D330" s="22"/>
      <c r="E330" s="29"/>
      <c r="F330" s="21" t="s">
        <v>14</v>
      </c>
      <c r="G330" s="39" t="s">
        <v>260</v>
      </c>
      <c r="H330" s="20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6">
        <f t="shared" si="100"/>
        <v>0</v>
      </c>
      <c r="V330" s="20">
        <f t="shared" si="90"/>
        <v>0</v>
      </c>
      <c r="W330" s="35"/>
      <c r="X330" s="65" t="e">
        <f t="shared" si="88"/>
        <v>#DIV/0!</v>
      </c>
    </row>
    <row r="331" spans="1:24" ht="12.75" customHeight="1" hidden="1">
      <c r="A331" s="16"/>
      <c r="B331" s="28"/>
      <c r="C331" s="29"/>
      <c r="D331" s="22"/>
      <c r="E331" s="29"/>
      <c r="F331" s="21" t="s">
        <v>17</v>
      </c>
      <c r="G331" s="39" t="s">
        <v>260</v>
      </c>
      <c r="H331" s="20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6">
        <f t="shared" si="100"/>
        <v>0</v>
      </c>
      <c r="V331" s="20">
        <f t="shared" si="90"/>
        <v>0</v>
      </c>
      <c r="W331" s="35"/>
      <c r="X331" s="65" t="e">
        <f t="shared" si="88"/>
        <v>#DIV/0!</v>
      </c>
    </row>
    <row r="332" spans="1:24" ht="12.75" customHeight="1" hidden="1">
      <c r="A332" s="16"/>
      <c r="B332" s="28"/>
      <c r="C332" s="29"/>
      <c r="D332" s="22"/>
      <c r="E332" s="29"/>
      <c r="F332" s="21" t="s">
        <v>22</v>
      </c>
      <c r="G332" s="39" t="s">
        <v>261</v>
      </c>
      <c r="H332" s="20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6">
        <f t="shared" si="100"/>
        <v>0</v>
      </c>
      <c r="V332" s="20">
        <f t="shared" si="90"/>
        <v>0</v>
      </c>
      <c r="W332" s="35"/>
      <c r="X332" s="65" t="e">
        <f t="shared" si="88"/>
        <v>#DIV/0!</v>
      </c>
    </row>
    <row r="333" spans="1:24" ht="22.5" customHeight="1" hidden="1">
      <c r="A333" s="16"/>
      <c r="B333" s="28"/>
      <c r="C333" s="29"/>
      <c r="D333" s="22"/>
      <c r="E333" s="29"/>
      <c r="F333" s="21" t="s">
        <v>28</v>
      </c>
      <c r="G333" s="40" t="s">
        <v>293</v>
      </c>
      <c r="H333" s="20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6">
        <f t="shared" si="100"/>
        <v>0</v>
      </c>
      <c r="V333" s="20">
        <f t="shared" si="90"/>
        <v>0</v>
      </c>
      <c r="W333" s="35"/>
      <c r="X333" s="65" t="e">
        <f t="shared" si="88"/>
        <v>#DIV/0!</v>
      </c>
    </row>
    <row r="334" spans="1:24" ht="12.75" customHeight="1" hidden="1">
      <c r="A334" s="16"/>
      <c r="B334" s="28" t="s">
        <v>159</v>
      </c>
      <c r="C334" s="29" t="s">
        <v>35</v>
      </c>
      <c r="D334" s="22" t="s">
        <v>28</v>
      </c>
      <c r="E334" s="29"/>
      <c r="F334" s="21"/>
      <c r="G334" s="39" t="s">
        <v>263</v>
      </c>
      <c r="H334" s="19">
        <f>SUM(H335:H341)</f>
        <v>0</v>
      </c>
      <c r="I334" s="37">
        <f aca="true" t="shared" si="103" ref="I334:U334">SUM(I335:I341)</f>
        <v>0</v>
      </c>
      <c r="J334" s="37">
        <f t="shared" si="103"/>
        <v>0</v>
      </c>
      <c r="K334" s="37">
        <f t="shared" si="103"/>
        <v>0</v>
      </c>
      <c r="L334" s="37">
        <f t="shared" si="103"/>
        <v>0</v>
      </c>
      <c r="M334" s="37">
        <f t="shared" si="103"/>
        <v>0</v>
      </c>
      <c r="N334" s="37">
        <f t="shared" si="103"/>
        <v>0</v>
      </c>
      <c r="O334" s="37">
        <f t="shared" si="103"/>
        <v>0</v>
      </c>
      <c r="P334" s="37">
        <f t="shared" si="103"/>
        <v>0</v>
      </c>
      <c r="Q334" s="37">
        <f t="shared" si="103"/>
        <v>0</v>
      </c>
      <c r="R334" s="37">
        <f t="shared" si="103"/>
        <v>0</v>
      </c>
      <c r="S334" s="37">
        <f t="shared" si="103"/>
        <v>0</v>
      </c>
      <c r="T334" s="37">
        <f t="shared" si="103"/>
        <v>0</v>
      </c>
      <c r="U334" s="38">
        <f t="shared" si="103"/>
        <v>0</v>
      </c>
      <c r="V334" s="19">
        <f t="shared" si="90"/>
        <v>0</v>
      </c>
      <c r="W334" s="37">
        <f>SUM(W335:W341)</f>
        <v>0</v>
      </c>
      <c r="X334" s="65" t="e">
        <f t="shared" si="88"/>
        <v>#DIV/0!</v>
      </c>
    </row>
    <row r="335" spans="1:24" ht="12.75" customHeight="1" hidden="1">
      <c r="A335" s="16"/>
      <c r="B335" s="28"/>
      <c r="C335" s="29"/>
      <c r="D335" s="22"/>
      <c r="E335" s="29" t="s">
        <v>14</v>
      </c>
      <c r="F335" s="21"/>
      <c r="G335" s="39" t="s">
        <v>264</v>
      </c>
      <c r="H335" s="20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6">
        <f t="shared" si="100"/>
        <v>0</v>
      </c>
      <c r="V335" s="20">
        <f t="shared" si="90"/>
        <v>0</v>
      </c>
      <c r="W335" s="35"/>
      <c r="X335" s="65" t="e">
        <f t="shared" si="88"/>
        <v>#DIV/0!</v>
      </c>
    </row>
    <row r="336" spans="1:24" ht="12.75" customHeight="1" hidden="1">
      <c r="A336" s="16"/>
      <c r="B336" s="28"/>
      <c r="C336" s="29"/>
      <c r="D336" s="22"/>
      <c r="E336" s="29" t="s">
        <v>17</v>
      </c>
      <c r="F336" s="21"/>
      <c r="G336" s="39" t="s">
        <v>265</v>
      </c>
      <c r="H336" s="20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6">
        <f t="shared" si="100"/>
        <v>0</v>
      </c>
      <c r="V336" s="20">
        <f t="shared" si="90"/>
        <v>0</v>
      </c>
      <c r="W336" s="35"/>
      <c r="X336" s="65" t="e">
        <f t="shared" si="88"/>
        <v>#DIV/0!</v>
      </c>
    </row>
    <row r="337" spans="1:24" ht="12.75" customHeight="1" hidden="1">
      <c r="A337" s="16"/>
      <c r="B337" s="28"/>
      <c r="C337" s="29"/>
      <c r="D337" s="22"/>
      <c r="E337" s="29" t="s">
        <v>22</v>
      </c>
      <c r="F337" s="21"/>
      <c r="G337" s="39" t="s">
        <v>266</v>
      </c>
      <c r="H337" s="20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6">
        <f t="shared" si="100"/>
        <v>0</v>
      </c>
      <c r="V337" s="20">
        <f t="shared" si="90"/>
        <v>0</v>
      </c>
      <c r="W337" s="35"/>
      <c r="X337" s="65" t="e">
        <f t="shared" si="88"/>
        <v>#DIV/0!</v>
      </c>
    </row>
    <row r="338" spans="1:24" ht="12.75" customHeight="1" hidden="1">
      <c r="A338" s="16"/>
      <c r="B338" s="28"/>
      <c r="C338" s="29"/>
      <c r="D338" s="22"/>
      <c r="E338" s="29" t="s">
        <v>28</v>
      </c>
      <c r="F338" s="21"/>
      <c r="G338" s="39" t="s">
        <v>267</v>
      </c>
      <c r="H338" s="20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6">
        <f t="shared" si="100"/>
        <v>0</v>
      </c>
      <c r="V338" s="20">
        <f t="shared" si="90"/>
        <v>0</v>
      </c>
      <c r="W338" s="35"/>
      <c r="X338" s="65" t="e">
        <f t="shared" si="88"/>
        <v>#DIV/0!</v>
      </c>
    </row>
    <row r="339" spans="1:24" ht="12.75" customHeight="1" hidden="1">
      <c r="A339" s="16"/>
      <c r="B339" s="28"/>
      <c r="C339" s="29"/>
      <c r="D339" s="22"/>
      <c r="E339" s="29" t="s">
        <v>54</v>
      </c>
      <c r="F339" s="21"/>
      <c r="G339" s="39" t="s">
        <v>268</v>
      </c>
      <c r="H339" s="20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6">
        <f t="shared" si="100"/>
        <v>0</v>
      </c>
      <c r="V339" s="20">
        <f t="shared" si="90"/>
        <v>0</v>
      </c>
      <c r="W339" s="35"/>
      <c r="X339" s="65" t="e">
        <f t="shared" si="88"/>
        <v>#DIV/0!</v>
      </c>
    </row>
    <row r="340" spans="1:24" ht="12.75" customHeight="1" hidden="1">
      <c r="A340" s="16"/>
      <c r="B340" s="28"/>
      <c r="C340" s="29"/>
      <c r="D340" s="22"/>
      <c r="E340" s="29" t="s">
        <v>57</v>
      </c>
      <c r="F340" s="21"/>
      <c r="G340" s="39" t="s">
        <v>269</v>
      </c>
      <c r="H340" s="20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6">
        <f t="shared" si="100"/>
        <v>0</v>
      </c>
      <c r="V340" s="20">
        <f t="shared" si="90"/>
        <v>0</v>
      </c>
      <c r="W340" s="35"/>
      <c r="X340" s="65" t="e">
        <f t="shared" si="88"/>
        <v>#DIV/0!</v>
      </c>
    </row>
    <row r="341" spans="1:24" ht="12.75" customHeight="1" hidden="1">
      <c r="A341" s="16"/>
      <c r="B341" s="28"/>
      <c r="C341" s="29"/>
      <c r="D341" s="22"/>
      <c r="E341" s="29" t="s">
        <v>61</v>
      </c>
      <c r="F341" s="21"/>
      <c r="G341" s="39" t="s">
        <v>270</v>
      </c>
      <c r="H341" s="20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6">
        <f t="shared" si="100"/>
        <v>0</v>
      </c>
      <c r="V341" s="20">
        <f t="shared" si="90"/>
        <v>0</v>
      </c>
      <c r="W341" s="35"/>
      <c r="X341" s="65" t="e">
        <f t="shared" si="88"/>
        <v>#DIV/0!</v>
      </c>
    </row>
    <row r="342" spans="1:24" ht="12.75" customHeight="1" hidden="1">
      <c r="A342" s="16"/>
      <c r="B342" s="28" t="s">
        <v>159</v>
      </c>
      <c r="C342" s="29" t="s">
        <v>35</v>
      </c>
      <c r="D342" s="22" t="s">
        <v>54</v>
      </c>
      <c r="E342" s="29"/>
      <c r="F342" s="21"/>
      <c r="G342" s="39" t="s">
        <v>271</v>
      </c>
      <c r="H342" s="19">
        <f>SUM(H343+H346+H347+H349)</f>
        <v>0</v>
      </c>
      <c r="I342" s="37">
        <f aca="true" t="shared" si="104" ref="I342:U342">SUM(I343+I346+I347+I349)</f>
        <v>0</v>
      </c>
      <c r="J342" s="37">
        <f t="shared" si="104"/>
        <v>0</v>
      </c>
      <c r="K342" s="37">
        <f t="shared" si="104"/>
        <v>0</v>
      </c>
      <c r="L342" s="37">
        <f t="shared" si="104"/>
        <v>0</v>
      </c>
      <c r="M342" s="37">
        <f t="shared" si="104"/>
        <v>0</v>
      </c>
      <c r="N342" s="37">
        <f t="shared" si="104"/>
        <v>0</v>
      </c>
      <c r="O342" s="37">
        <f t="shared" si="104"/>
        <v>0</v>
      </c>
      <c r="P342" s="37">
        <f t="shared" si="104"/>
        <v>0</v>
      </c>
      <c r="Q342" s="37">
        <f t="shared" si="104"/>
        <v>0</v>
      </c>
      <c r="R342" s="37">
        <f t="shared" si="104"/>
        <v>0</v>
      </c>
      <c r="S342" s="37">
        <f t="shared" si="104"/>
        <v>0</v>
      </c>
      <c r="T342" s="37">
        <f t="shared" si="104"/>
        <v>0</v>
      </c>
      <c r="U342" s="38">
        <f t="shared" si="104"/>
        <v>0</v>
      </c>
      <c r="V342" s="19">
        <f t="shared" si="90"/>
        <v>0</v>
      </c>
      <c r="W342" s="37">
        <f>SUM(W343+W346+W347+W349)</f>
        <v>0</v>
      </c>
      <c r="X342" s="65" t="e">
        <f t="shared" si="88"/>
        <v>#DIV/0!</v>
      </c>
    </row>
    <row r="343" spans="1:24" ht="12.75" customHeight="1" hidden="1">
      <c r="A343" s="16"/>
      <c r="B343" s="28"/>
      <c r="C343" s="29"/>
      <c r="D343" s="22"/>
      <c r="E343" s="29" t="s">
        <v>14</v>
      </c>
      <c r="F343" s="21"/>
      <c r="G343" s="39" t="s">
        <v>272</v>
      </c>
      <c r="H343" s="19">
        <f>SUM(H344:H345)</f>
        <v>0</v>
      </c>
      <c r="I343" s="37">
        <f aca="true" t="shared" si="105" ref="I343:U343">SUM(I344:I345)</f>
        <v>0</v>
      </c>
      <c r="J343" s="37">
        <f t="shared" si="105"/>
        <v>0</v>
      </c>
      <c r="K343" s="37">
        <f t="shared" si="105"/>
        <v>0</v>
      </c>
      <c r="L343" s="37">
        <f t="shared" si="105"/>
        <v>0</v>
      </c>
      <c r="M343" s="37">
        <f t="shared" si="105"/>
        <v>0</v>
      </c>
      <c r="N343" s="37">
        <f t="shared" si="105"/>
        <v>0</v>
      </c>
      <c r="O343" s="37">
        <f t="shared" si="105"/>
        <v>0</v>
      </c>
      <c r="P343" s="37">
        <f t="shared" si="105"/>
        <v>0</v>
      </c>
      <c r="Q343" s="37">
        <f t="shared" si="105"/>
        <v>0</v>
      </c>
      <c r="R343" s="37">
        <f t="shared" si="105"/>
        <v>0</v>
      </c>
      <c r="S343" s="37">
        <f t="shared" si="105"/>
        <v>0</v>
      </c>
      <c r="T343" s="37">
        <f t="shared" si="105"/>
        <v>0</v>
      </c>
      <c r="U343" s="38">
        <f t="shared" si="105"/>
        <v>0</v>
      </c>
      <c r="V343" s="19">
        <f t="shared" si="90"/>
        <v>0</v>
      </c>
      <c r="W343" s="37">
        <f>SUM(W344:W345)</f>
        <v>0</v>
      </c>
      <c r="X343" s="65" t="e">
        <f t="shared" si="88"/>
        <v>#DIV/0!</v>
      </c>
    </row>
    <row r="344" spans="1:24" ht="12.75" customHeight="1" hidden="1">
      <c r="A344" s="16"/>
      <c r="B344" s="28"/>
      <c r="C344" s="29"/>
      <c r="D344" s="22"/>
      <c r="E344" s="29"/>
      <c r="F344" s="21" t="s">
        <v>14</v>
      </c>
      <c r="G344" s="39" t="s">
        <v>273</v>
      </c>
      <c r="H344" s="20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6">
        <f aca="true" t="shared" si="106" ref="U344:U360">SUM(I344:T344)</f>
        <v>0</v>
      </c>
      <c r="V344" s="20">
        <f t="shared" si="90"/>
        <v>0</v>
      </c>
      <c r="W344" s="35"/>
      <c r="X344" s="65" t="e">
        <f t="shared" si="88"/>
        <v>#DIV/0!</v>
      </c>
    </row>
    <row r="345" spans="1:24" ht="12.75" customHeight="1" hidden="1">
      <c r="A345" s="16"/>
      <c r="B345" s="28"/>
      <c r="C345" s="29"/>
      <c r="D345" s="22"/>
      <c r="E345" s="29"/>
      <c r="F345" s="21" t="s">
        <v>17</v>
      </c>
      <c r="G345" s="39" t="s">
        <v>274</v>
      </c>
      <c r="H345" s="20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6">
        <f t="shared" si="106"/>
        <v>0</v>
      </c>
      <c r="V345" s="20">
        <f t="shared" si="90"/>
        <v>0</v>
      </c>
      <c r="W345" s="35"/>
      <c r="X345" s="65" t="e">
        <f t="shared" si="88"/>
        <v>#DIV/0!</v>
      </c>
    </row>
    <row r="346" spans="1:24" ht="12.75" customHeight="1" hidden="1">
      <c r="A346" s="16"/>
      <c r="B346" s="28"/>
      <c r="C346" s="29"/>
      <c r="D346" s="22"/>
      <c r="E346" s="29" t="s">
        <v>17</v>
      </c>
      <c r="F346" s="21"/>
      <c r="G346" s="39" t="s">
        <v>275</v>
      </c>
      <c r="H346" s="20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6">
        <f t="shared" si="106"/>
        <v>0</v>
      </c>
      <c r="V346" s="20">
        <f t="shared" si="90"/>
        <v>0</v>
      </c>
      <c r="W346" s="35"/>
      <c r="X346" s="65" t="e">
        <f t="shared" si="88"/>
        <v>#DIV/0!</v>
      </c>
    </row>
    <row r="347" spans="1:24" ht="12.75" customHeight="1" hidden="1">
      <c r="A347" s="16"/>
      <c r="B347" s="28"/>
      <c r="C347" s="29"/>
      <c r="D347" s="22"/>
      <c r="E347" s="29" t="s">
        <v>22</v>
      </c>
      <c r="F347" s="21"/>
      <c r="G347" s="39" t="s">
        <v>276</v>
      </c>
      <c r="H347" s="19">
        <f aca="true" t="shared" si="107" ref="H347:W347">SUM(H348)</f>
        <v>0</v>
      </c>
      <c r="I347" s="37">
        <f t="shared" si="107"/>
        <v>0</v>
      </c>
      <c r="J347" s="37">
        <f t="shared" si="107"/>
        <v>0</v>
      </c>
      <c r="K347" s="37">
        <f t="shared" si="107"/>
        <v>0</v>
      </c>
      <c r="L347" s="37">
        <f t="shared" si="107"/>
        <v>0</v>
      </c>
      <c r="M347" s="37">
        <f t="shared" si="107"/>
        <v>0</v>
      </c>
      <c r="N347" s="37">
        <f t="shared" si="107"/>
        <v>0</v>
      </c>
      <c r="O347" s="37">
        <f t="shared" si="107"/>
        <v>0</v>
      </c>
      <c r="P347" s="37">
        <f t="shared" si="107"/>
        <v>0</v>
      </c>
      <c r="Q347" s="37">
        <f t="shared" si="107"/>
        <v>0</v>
      </c>
      <c r="R347" s="37">
        <f t="shared" si="107"/>
        <v>0</v>
      </c>
      <c r="S347" s="37">
        <f t="shared" si="107"/>
        <v>0</v>
      </c>
      <c r="T347" s="37">
        <f t="shared" si="107"/>
        <v>0</v>
      </c>
      <c r="U347" s="38">
        <f t="shared" si="107"/>
        <v>0</v>
      </c>
      <c r="V347" s="19">
        <f t="shared" si="90"/>
        <v>0</v>
      </c>
      <c r="W347" s="37">
        <f t="shared" si="107"/>
        <v>0</v>
      </c>
      <c r="X347" s="65" t="e">
        <f aca="true" t="shared" si="108" ref="X347:X410">SUM(V347/I347)*100</f>
        <v>#DIV/0!</v>
      </c>
    </row>
    <row r="348" spans="1:24" ht="12.75" customHeight="1" hidden="1">
      <c r="A348" s="16"/>
      <c r="B348" s="28"/>
      <c r="C348" s="29"/>
      <c r="D348" s="22"/>
      <c r="E348" s="29"/>
      <c r="F348" s="21" t="s">
        <v>14</v>
      </c>
      <c r="G348" s="39" t="s">
        <v>277</v>
      </c>
      <c r="H348" s="20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6">
        <f t="shared" si="106"/>
        <v>0</v>
      </c>
      <c r="V348" s="20">
        <f t="shared" si="90"/>
        <v>0</v>
      </c>
      <c r="W348" s="35"/>
      <c r="X348" s="65" t="e">
        <f t="shared" si="108"/>
        <v>#DIV/0!</v>
      </c>
    </row>
    <row r="349" spans="1:24" ht="12.75" customHeight="1" hidden="1">
      <c r="A349" s="16"/>
      <c r="B349" s="28"/>
      <c r="C349" s="29"/>
      <c r="D349" s="22"/>
      <c r="E349" s="29" t="s">
        <v>28</v>
      </c>
      <c r="F349" s="21"/>
      <c r="G349" s="39" t="s">
        <v>278</v>
      </c>
      <c r="H349" s="20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6">
        <f t="shared" si="106"/>
        <v>0</v>
      </c>
      <c r="V349" s="20">
        <f t="shared" si="90"/>
        <v>0</v>
      </c>
      <c r="W349" s="35"/>
      <c r="X349" s="65" t="e">
        <f t="shared" si="108"/>
        <v>#DIV/0!</v>
      </c>
    </row>
    <row r="350" spans="1:24" ht="12.75">
      <c r="A350" s="16"/>
      <c r="B350" s="28" t="s">
        <v>159</v>
      </c>
      <c r="C350" s="29" t="s">
        <v>10</v>
      </c>
      <c r="D350" s="22"/>
      <c r="E350" s="29"/>
      <c r="F350" s="21"/>
      <c r="G350" s="39" t="s">
        <v>294</v>
      </c>
      <c r="H350" s="19">
        <f>+Gastos!H191</f>
        <v>623719000</v>
      </c>
      <c r="I350" s="37">
        <f>+Gastos!I191</f>
        <v>21370095</v>
      </c>
      <c r="J350" s="37">
        <f>+Gastos!J191</f>
        <v>78203585</v>
      </c>
      <c r="K350" s="37">
        <f>+Gastos!K191</f>
        <v>47731559</v>
      </c>
      <c r="L350" s="37">
        <f>+Gastos!L191</f>
        <v>50919452</v>
      </c>
      <c r="M350" s="37">
        <f>+Gastos!M191</f>
        <v>50252838</v>
      </c>
      <c r="N350" s="37">
        <f>+Gastos!N191</f>
        <v>48364582</v>
      </c>
      <c r="O350" s="37">
        <f>+Gastos!O191</f>
        <v>43882764</v>
      </c>
      <c r="P350" s="37">
        <f>+Gastos!P191</f>
        <v>41228779</v>
      </c>
      <c r="Q350" s="37">
        <f>+Gastos!Q191</f>
        <v>55608710</v>
      </c>
      <c r="R350" s="37">
        <f>+Gastos!R191</f>
        <v>0</v>
      </c>
      <c r="S350" s="37">
        <f>+Gastos!S191</f>
        <v>0</v>
      </c>
      <c r="T350" s="37">
        <f>+Gastos!T191</f>
        <v>0</v>
      </c>
      <c r="U350" s="38">
        <f>+Gastos!U191</f>
        <v>437562364</v>
      </c>
      <c r="V350" s="19">
        <f aca="true" t="shared" si="109" ref="V350:V413">H350-U350</f>
        <v>186156636</v>
      </c>
      <c r="W350" s="37">
        <f>+Gastos!W191</f>
        <v>5119904</v>
      </c>
      <c r="X350" s="65">
        <f>+Gastos!X191</f>
        <v>70.15376539755883</v>
      </c>
    </row>
    <row r="351" spans="1:24" ht="12.75" customHeight="1" hidden="1">
      <c r="A351" s="16"/>
      <c r="B351" s="28" t="s">
        <v>159</v>
      </c>
      <c r="C351" s="29" t="s">
        <v>10</v>
      </c>
      <c r="D351" s="22" t="s">
        <v>14</v>
      </c>
      <c r="E351" s="29"/>
      <c r="F351" s="21"/>
      <c r="G351" s="39" t="s">
        <v>295</v>
      </c>
      <c r="H351" s="20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6">
        <f t="shared" si="106"/>
        <v>0</v>
      </c>
      <c r="V351" s="20">
        <f t="shared" si="109"/>
        <v>0</v>
      </c>
      <c r="W351" s="35"/>
      <c r="X351" s="65" t="e">
        <f t="shared" si="108"/>
        <v>#DIV/0!</v>
      </c>
    </row>
    <row r="352" spans="1:24" ht="12.75" customHeight="1" hidden="1">
      <c r="A352" s="16"/>
      <c r="B352" s="28" t="s">
        <v>159</v>
      </c>
      <c r="C352" s="29" t="s">
        <v>10</v>
      </c>
      <c r="D352" s="22" t="s">
        <v>17</v>
      </c>
      <c r="E352" s="29"/>
      <c r="F352" s="21"/>
      <c r="G352" s="39" t="s">
        <v>296</v>
      </c>
      <c r="H352" s="20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6">
        <f t="shared" si="106"/>
        <v>0</v>
      </c>
      <c r="V352" s="20">
        <f t="shared" si="109"/>
        <v>0</v>
      </c>
      <c r="W352" s="35"/>
      <c r="X352" s="65" t="e">
        <f t="shared" si="108"/>
        <v>#DIV/0!</v>
      </c>
    </row>
    <row r="353" spans="1:24" ht="12.75" customHeight="1" hidden="1">
      <c r="A353" s="16"/>
      <c r="B353" s="28" t="s">
        <v>159</v>
      </c>
      <c r="C353" s="29" t="s">
        <v>10</v>
      </c>
      <c r="D353" s="22" t="s">
        <v>22</v>
      </c>
      <c r="E353" s="29"/>
      <c r="F353" s="21"/>
      <c r="G353" s="39" t="s">
        <v>297</v>
      </c>
      <c r="H353" s="20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6">
        <f t="shared" si="106"/>
        <v>0</v>
      </c>
      <c r="V353" s="20">
        <f t="shared" si="109"/>
        <v>0</v>
      </c>
      <c r="W353" s="35"/>
      <c r="X353" s="65" t="e">
        <f t="shared" si="108"/>
        <v>#DIV/0!</v>
      </c>
    </row>
    <row r="354" spans="1:24" ht="12.75" customHeight="1" hidden="1">
      <c r="A354" s="16"/>
      <c r="B354" s="28" t="s">
        <v>159</v>
      </c>
      <c r="C354" s="29" t="s">
        <v>10</v>
      </c>
      <c r="D354" s="22" t="s">
        <v>28</v>
      </c>
      <c r="E354" s="29"/>
      <c r="F354" s="21"/>
      <c r="G354" s="39" t="s">
        <v>298</v>
      </c>
      <c r="H354" s="20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6">
        <f t="shared" si="106"/>
        <v>0</v>
      </c>
      <c r="V354" s="20">
        <f t="shared" si="109"/>
        <v>0</v>
      </c>
      <c r="W354" s="35"/>
      <c r="X354" s="65" t="e">
        <f t="shared" si="108"/>
        <v>#DIV/0!</v>
      </c>
    </row>
    <row r="355" spans="1:24" ht="12.75" customHeight="1" hidden="1">
      <c r="A355" s="16"/>
      <c r="B355" s="28" t="s">
        <v>159</v>
      </c>
      <c r="C355" s="29" t="s">
        <v>10</v>
      </c>
      <c r="D355" s="22" t="s">
        <v>54</v>
      </c>
      <c r="E355" s="29"/>
      <c r="F355" s="21"/>
      <c r="G355" s="39" t="s">
        <v>299</v>
      </c>
      <c r="H355" s="20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6">
        <f t="shared" si="106"/>
        <v>0</v>
      </c>
      <c r="V355" s="20">
        <f t="shared" si="109"/>
        <v>0</v>
      </c>
      <c r="W355" s="35"/>
      <c r="X355" s="65" t="e">
        <f t="shared" si="108"/>
        <v>#DIV/0!</v>
      </c>
    </row>
    <row r="356" spans="1:24" ht="12.75" customHeight="1" hidden="1">
      <c r="A356" s="16"/>
      <c r="B356" s="28" t="s">
        <v>159</v>
      </c>
      <c r="C356" s="29" t="s">
        <v>10</v>
      </c>
      <c r="D356" s="22" t="s">
        <v>57</v>
      </c>
      <c r="E356" s="29"/>
      <c r="F356" s="21"/>
      <c r="G356" s="39" t="s">
        <v>300</v>
      </c>
      <c r="H356" s="20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6">
        <f t="shared" si="106"/>
        <v>0</v>
      </c>
      <c r="V356" s="20">
        <f t="shared" si="109"/>
        <v>0</v>
      </c>
      <c r="W356" s="35"/>
      <c r="X356" s="65" t="e">
        <f t="shared" si="108"/>
        <v>#DIV/0!</v>
      </c>
    </row>
    <row r="357" spans="1:24" ht="12.75" customHeight="1" hidden="1">
      <c r="A357" s="16"/>
      <c r="B357" s="28" t="s">
        <v>159</v>
      </c>
      <c r="C357" s="29" t="s">
        <v>10</v>
      </c>
      <c r="D357" s="22" t="s">
        <v>61</v>
      </c>
      <c r="E357" s="29"/>
      <c r="F357" s="21"/>
      <c r="G357" s="39" t="s">
        <v>301</v>
      </c>
      <c r="H357" s="20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6">
        <f t="shared" si="106"/>
        <v>0</v>
      </c>
      <c r="V357" s="20">
        <f t="shared" si="109"/>
        <v>0</v>
      </c>
      <c r="W357" s="35"/>
      <c r="X357" s="65" t="e">
        <f t="shared" si="108"/>
        <v>#DIV/0!</v>
      </c>
    </row>
    <row r="358" spans="1:24" ht="12.75" customHeight="1" hidden="1">
      <c r="A358" s="16"/>
      <c r="B358" s="28" t="s">
        <v>159</v>
      </c>
      <c r="C358" s="29" t="s">
        <v>10</v>
      </c>
      <c r="D358" s="22" t="s">
        <v>30</v>
      </c>
      <c r="E358" s="29"/>
      <c r="F358" s="21"/>
      <c r="G358" s="39" t="s">
        <v>34</v>
      </c>
      <c r="H358" s="19">
        <f>SUM(H359:H360)</f>
        <v>0</v>
      </c>
      <c r="I358" s="37">
        <f aca="true" t="shared" si="110" ref="I358:U358">SUM(I359:I360)</f>
        <v>0</v>
      </c>
      <c r="J358" s="37">
        <f t="shared" si="110"/>
        <v>0</v>
      </c>
      <c r="K358" s="37">
        <f t="shared" si="110"/>
        <v>0</v>
      </c>
      <c r="L358" s="37">
        <f t="shared" si="110"/>
        <v>0</v>
      </c>
      <c r="M358" s="37">
        <f t="shared" si="110"/>
        <v>0</v>
      </c>
      <c r="N358" s="37">
        <f t="shared" si="110"/>
        <v>0</v>
      </c>
      <c r="O358" s="37">
        <f t="shared" si="110"/>
        <v>0</v>
      </c>
      <c r="P358" s="37">
        <f t="shared" si="110"/>
        <v>0</v>
      </c>
      <c r="Q358" s="37">
        <f t="shared" si="110"/>
        <v>0</v>
      </c>
      <c r="R358" s="37">
        <f t="shared" si="110"/>
        <v>0</v>
      </c>
      <c r="S358" s="37">
        <f t="shared" si="110"/>
        <v>0</v>
      </c>
      <c r="T358" s="37">
        <f t="shared" si="110"/>
        <v>0</v>
      </c>
      <c r="U358" s="38">
        <f t="shared" si="110"/>
        <v>0</v>
      </c>
      <c r="V358" s="19">
        <f t="shared" si="109"/>
        <v>0</v>
      </c>
      <c r="W358" s="37">
        <f>SUM(W359:W360)</f>
        <v>0</v>
      </c>
      <c r="X358" s="65" t="e">
        <f t="shared" si="108"/>
        <v>#DIV/0!</v>
      </c>
    </row>
    <row r="359" spans="1:24" ht="12.75" customHeight="1" hidden="1">
      <c r="A359" s="16"/>
      <c r="B359" s="28"/>
      <c r="C359" s="29"/>
      <c r="D359" s="22"/>
      <c r="E359" s="21" t="s">
        <v>14</v>
      </c>
      <c r="F359" s="67"/>
      <c r="G359" s="39" t="s">
        <v>302</v>
      </c>
      <c r="H359" s="20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6">
        <f t="shared" si="106"/>
        <v>0</v>
      </c>
      <c r="V359" s="20">
        <f t="shared" si="109"/>
        <v>0</v>
      </c>
      <c r="W359" s="35"/>
      <c r="X359" s="65" t="e">
        <f t="shared" si="108"/>
        <v>#DIV/0!</v>
      </c>
    </row>
    <row r="360" spans="1:24" ht="12.75" customHeight="1" hidden="1">
      <c r="A360" s="16"/>
      <c r="B360" s="28"/>
      <c r="C360" s="29"/>
      <c r="D360" s="22"/>
      <c r="E360" s="21" t="s">
        <v>30</v>
      </c>
      <c r="F360" s="67"/>
      <c r="G360" s="39" t="s">
        <v>34</v>
      </c>
      <c r="H360" s="20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6">
        <f t="shared" si="106"/>
        <v>0</v>
      </c>
      <c r="V360" s="20">
        <f t="shared" si="109"/>
        <v>0</v>
      </c>
      <c r="W360" s="35"/>
      <c r="X360" s="65" t="e">
        <f t="shared" si="108"/>
        <v>#DIV/0!</v>
      </c>
    </row>
    <row r="361" spans="1:24" ht="12.75">
      <c r="A361" s="16"/>
      <c r="B361" s="28" t="s">
        <v>159</v>
      </c>
      <c r="C361" s="29" t="s">
        <v>73</v>
      </c>
      <c r="D361" s="22"/>
      <c r="E361" s="29"/>
      <c r="F361" s="21"/>
      <c r="G361" s="39" t="s">
        <v>303</v>
      </c>
      <c r="H361" s="19">
        <f>+Gastos!H202</f>
        <v>1497714000</v>
      </c>
      <c r="I361" s="37">
        <f>+Gastos!I202</f>
        <v>112230940</v>
      </c>
      <c r="J361" s="37">
        <f>+Gastos!J202</f>
        <v>118508035</v>
      </c>
      <c r="K361" s="37">
        <f>+Gastos!K202</f>
        <v>117751716</v>
      </c>
      <c r="L361" s="37">
        <f>+Gastos!L202</f>
        <v>129945304</v>
      </c>
      <c r="M361" s="37">
        <f>+Gastos!M202</f>
        <v>120295645</v>
      </c>
      <c r="N361" s="37">
        <f>+Gastos!N202</f>
        <v>136273782</v>
      </c>
      <c r="O361" s="37">
        <f>+Gastos!O202</f>
        <v>114691663</v>
      </c>
      <c r="P361" s="37">
        <f>+Gastos!P202</f>
        <v>115988323</v>
      </c>
      <c r="Q361" s="37">
        <f>+Gastos!Q202</f>
        <v>113986712</v>
      </c>
      <c r="R361" s="37">
        <f>+Gastos!R202</f>
        <v>0</v>
      </c>
      <c r="S361" s="37">
        <f>+Gastos!S202</f>
        <v>0</v>
      </c>
      <c r="T361" s="37">
        <f>+Gastos!T202</f>
        <v>0</v>
      </c>
      <c r="U361" s="38">
        <f>+Gastos!U202</f>
        <v>1079672120</v>
      </c>
      <c r="V361" s="19">
        <f t="shared" si="109"/>
        <v>418041880</v>
      </c>
      <c r="W361" s="37">
        <f>+Gastos!W202</f>
        <v>140000</v>
      </c>
      <c r="X361" s="65">
        <f>+Gastos!X202</f>
        <v>72.08800345059203</v>
      </c>
    </row>
    <row r="362" spans="1:24" ht="12.75" customHeight="1" hidden="1">
      <c r="A362" s="16"/>
      <c r="B362" s="28" t="s">
        <v>159</v>
      </c>
      <c r="C362" s="29" t="s">
        <v>73</v>
      </c>
      <c r="D362" s="22" t="s">
        <v>14</v>
      </c>
      <c r="E362" s="29"/>
      <c r="F362" s="21"/>
      <c r="G362" s="39" t="s">
        <v>304</v>
      </c>
      <c r="H362" s="19">
        <f aca="true" t="shared" si="111" ref="H362:W362">SUM(H363)</f>
        <v>0</v>
      </c>
      <c r="I362" s="37">
        <f t="shared" si="111"/>
        <v>0</v>
      </c>
      <c r="J362" s="37">
        <f t="shared" si="111"/>
        <v>0</v>
      </c>
      <c r="K362" s="37">
        <f t="shared" si="111"/>
        <v>0</v>
      </c>
      <c r="L362" s="37">
        <f t="shared" si="111"/>
        <v>0</v>
      </c>
      <c r="M362" s="37">
        <f t="shared" si="111"/>
        <v>0</v>
      </c>
      <c r="N362" s="37">
        <f t="shared" si="111"/>
        <v>0</v>
      </c>
      <c r="O362" s="37">
        <f t="shared" si="111"/>
        <v>0</v>
      </c>
      <c r="P362" s="37">
        <f t="shared" si="111"/>
        <v>0</v>
      </c>
      <c r="Q362" s="37">
        <f t="shared" si="111"/>
        <v>0</v>
      </c>
      <c r="R362" s="37">
        <f t="shared" si="111"/>
        <v>0</v>
      </c>
      <c r="S362" s="37">
        <f t="shared" si="111"/>
        <v>0</v>
      </c>
      <c r="T362" s="37">
        <f t="shared" si="111"/>
        <v>0</v>
      </c>
      <c r="U362" s="38">
        <f t="shared" si="111"/>
        <v>0</v>
      </c>
      <c r="V362" s="19">
        <f t="shared" si="109"/>
        <v>0</v>
      </c>
      <c r="W362" s="37">
        <f t="shared" si="111"/>
        <v>0</v>
      </c>
      <c r="X362" s="65" t="e">
        <f t="shared" si="108"/>
        <v>#DIV/0!</v>
      </c>
    </row>
    <row r="363" spans="1:24" ht="12.75" customHeight="1" hidden="1">
      <c r="A363" s="16"/>
      <c r="B363" s="28"/>
      <c r="C363" s="29"/>
      <c r="D363" s="22"/>
      <c r="E363" s="21" t="s">
        <v>14</v>
      </c>
      <c r="F363" s="67"/>
      <c r="G363" s="39" t="s">
        <v>305</v>
      </c>
      <c r="H363" s="20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6">
        <f>SUM(I363:T363)</f>
        <v>0</v>
      </c>
      <c r="V363" s="20">
        <f t="shared" si="109"/>
        <v>0</v>
      </c>
      <c r="W363" s="35"/>
      <c r="X363" s="65" t="e">
        <f t="shared" si="108"/>
        <v>#DIV/0!</v>
      </c>
    </row>
    <row r="364" spans="1:24" ht="12.75" customHeight="1" hidden="1">
      <c r="A364" s="16"/>
      <c r="B364" s="28" t="s">
        <v>159</v>
      </c>
      <c r="C364" s="29" t="s">
        <v>73</v>
      </c>
      <c r="D364" s="22" t="s">
        <v>22</v>
      </c>
      <c r="E364" s="29"/>
      <c r="F364" s="21"/>
      <c r="G364" s="39" t="s">
        <v>306</v>
      </c>
      <c r="H364" s="20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6">
        <f>SUM(I364:T364)</f>
        <v>0</v>
      </c>
      <c r="V364" s="20">
        <f t="shared" si="109"/>
        <v>0</v>
      </c>
      <c r="W364" s="35"/>
      <c r="X364" s="65" t="e">
        <f t="shared" si="108"/>
        <v>#DIV/0!</v>
      </c>
    </row>
    <row r="365" spans="1:24" ht="12.75" customHeight="1" hidden="1">
      <c r="A365" s="16"/>
      <c r="B365" s="28" t="s">
        <v>159</v>
      </c>
      <c r="C365" s="29" t="s">
        <v>73</v>
      </c>
      <c r="D365" s="22" t="s">
        <v>28</v>
      </c>
      <c r="E365" s="29"/>
      <c r="F365" s="21"/>
      <c r="G365" s="39" t="s">
        <v>307</v>
      </c>
      <c r="H365" s="20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6">
        <f>SUM(I365:T365)</f>
        <v>0</v>
      </c>
      <c r="V365" s="20">
        <f t="shared" si="109"/>
        <v>0</v>
      </c>
      <c r="W365" s="35"/>
      <c r="X365" s="65" t="e">
        <f t="shared" si="108"/>
        <v>#DIV/0!</v>
      </c>
    </row>
    <row r="366" spans="1:24" ht="12.75">
      <c r="A366" s="16"/>
      <c r="B366" s="28"/>
      <c r="C366" s="29"/>
      <c r="D366" s="22"/>
      <c r="E366" s="29"/>
      <c r="F366" s="21"/>
      <c r="G366" s="39"/>
      <c r="H366" s="19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6"/>
      <c r="V366" s="19"/>
      <c r="W366" s="37"/>
      <c r="X366" s="65"/>
    </row>
    <row r="367" spans="1:24" ht="12.75">
      <c r="A367" s="16"/>
      <c r="B367" s="273" t="s">
        <v>308</v>
      </c>
      <c r="C367" s="274"/>
      <c r="D367" s="171"/>
      <c r="E367" s="274"/>
      <c r="F367" s="170"/>
      <c r="G367" s="275" t="s">
        <v>309</v>
      </c>
      <c r="H367" s="280">
        <f>SUM(H368+H371+H375+H380+H398+H408+H417+H422+H435+H443+H449+H454)</f>
        <v>14693382000</v>
      </c>
      <c r="I367" s="281">
        <f aca="true" t="shared" si="112" ref="I367:T367">SUM(I368+I371+I375+I380+I398+I408+I417+I422+I435+I443+I449+I454)</f>
        <v>992743160</v>
      </c>
      <c r="J367" s="281">
        <f t="shared" si="112"/>
        <v>1009117224</v>
      </c>
      <c r="K367" s="281">
        <f t="shared" si="112"/>
        <v>1217052686</v>
      </c>
      <c r="L367" s="281">
        <f t="shared" si="112"/>
        <v>1161969172</v>
      </c>
      <c r="M367" s="281">
        <f t="shared" si="112"/>
        <v>1006377037</v>
      </c>
      <c r="N367" s="281">
        <f t="shared" si="112"/>
        <v>1148930151</v>
      </c>
      <c r="O367" s="281">
        <f t="shared" si="112"/>
        <v>1227003868</v>
      </c>
      <c r="P367" s="281">
        <f t="shared" si="112"/>
        <v>982172664</v>
      </c>
      <c r="Q367" s="281">
        <f t="shared" si="112"/>
        <v>1360121781</v>
      </c>
      <c r="R367" s="281">
        <f t="shared" si="112"/>
        <v>0</v>
      </c>
      <c r="S367" s="281">
        <f t="shared" si="112"/>
        <v>0</v>
      </c>
      <c r="T367" s="281">
        <f t="shared" si="112"/>
        <v>0</v>
      </c>
      <c r="U367" s="282">
        <f>+Gastos!U222</f>
        <v>10105487743</v>
      </c>
      <c r="V367" s="280">
        <f t="shared" si="109"/>
        <v>4587894257</v>
      </c>
      <c r="W367" s="281">
        <f>SUM(W368+W371+W375+W380+W398+W408+W417+W422+W435+W443+W449+W454)</f>
        <v>52254</v>
      </c>
      <c r="X367" s="188">
        <f>+Gastos!X222</f>
        <v>68.77577771407563</v>
      </c>
    </row>
    <row r="368" spans="1:24" ht="12.75">
      <c r="A368" s="16"/>
      <c r="B368" s="28" t="s">
        <v>308</v>
      </c>
      <c r="C368" s="29" t="s">
        <v>12</v>
      </c>
      <c r="D368" s="22"/>
      <c r="E368" s="29"/>
      <c r="F368" s="21"/>
      <c r="G368" s="39" t="s">
        <v>310</v>
      </c>
      <c r="H368" s="19">
        <f>+Gastos!H223</f>
        <v>63130000</v>
      </c>
      <c r="I368" s="37">
        <f>+Gastos!I223</f>
        <v>199111</v>
      </c>
      <c r="J368" s="37">
        <f>+Gastos!J223</f>
        <v>3973621</v>
      </c>
      <c r="K368" s="37">
        <f>+Gastos!K223</f>
        <v>573288</v>
      </c>
      <c r="L368" s="37">
        <f>+Gastos!L223</f>
        <v>134661</v>
      </c>
      <c r="M368" s="37">
        <f>+Gastos!M223</f>
        <v>2105825</v>
      </c>
      <c r="N368" s="37">
        <f>+Gastos!N223</f>
        <v>9647223</v>
      </c>
      <c r="O368" s="37">
        <f>+Gastos!O223</f>
        <v>4812438</v>
      </c>
      <c r="P368" s="37">
        <f>+Gastos!P223</f>
        <v>2529735</v>
      </c>
      <c r="Q368" s="37">
        <f>+Gastos!Q223</f>
        <v>3424331</v>
      </c>
      <c r="R368" s="37">
        <f>+Gastos!R223</f>
        <v>0</v>
      </c>
      <c r="S368" s="37">
        <f>+Gastos!S223</f>
        <v>0</v>
      </c>
      <c r="T368" s="37">
        <f>+Gastos!T223</f>
        <v>0</v>
      </c>
      <c r="U368" s="38">
        <f>+Gastos!U223</f>
        <v>27400233</v>
      </c>
      <c r="V368" s="19">
        <f t="shared" si="109"/>
        <v>35729767</v>
      </c>
      <c r="W368" s="37">
        <f>+Gastos!W223</f>
        <v>0</v>
      </c>
      <c r="X368" s="65">
        <f>+Gastos!X223</f>
        <v>43.40287185173452</v>
      </c>
    </row>
    <row r="369" spans="1:24" ht="12.75" customHeight="1" hidden="1">
      <c r="A369" s="16"/>
      <c r="B369" s="28" t="s">
        <v>308</v>
      </c>
      <c r="C369" s="29" t="s">
        <v>12</v>
      </c>
      <c r="D369" s="22" t="s">
        <v>14</v>
      </c>
      <c r="E369" s="29"/>
      <c r="F369" s="21"/>
      <c r="G369" s="39" t="s">
        <v>311</v>
      </c>
      <c r="H369" s="20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6">
        <f aca="true" t="shared" si="113" ref="U369:U432">SUM(I369:T369)</f>
        <v>0</v>
      </c>
      <c r="V369" s="20">
        <f t="shared" si="109"/>
        <v>0</v>
      </c>
      <c r="W369" s="35"/>
      <c r="X369" s="65" t="e">
        <f t="shared" si="108"/>
        <v>#DIV/0!</v>
      </c>
    </row>
    <row r="370" spans="1:24" ht="12.75" customHeight="1" hidden="1">
      <c r="A370" s="16"/>
      <c r="B370" s="28" t="s">
        <v>308</v>
      </c>
      <c r="C370" s="29" t="s">
        <v>12</v>
      </c>
      <c r="D370" s="22" t="s">
        <v>17</v>
      </c>
      <c r="E370" s="29"/>
      <c r="F370" s="21"/>
      <c r="G370" s="39" t="s">
        <v>312</v>
      </c>
      <c r="H370" s="20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6">
        <f t="shared" si="113"/>
        <v>0</v>
      </c>
      <c r="V370" s="20">
        <f t="shared" si="109"/>
        <v>0</v>
      </c>
      <c r="W370" s="35"/>
      <c r="X370" s="65" t="e">
        <f t="shared" si="108"/>
        <v>#DIV/0!</v>
      </c>
    </row>
    <row r="371" spans="1:24" ht="12.75">
      <c r="A371" s="16"/>
      <c r="B371" s="28" t="s">
        <v>308</v>
      </c>
      <c r="C371" s="29" t="s">
        <v>35</v>
      </c>
      <c r="D371" s="22"/>
      <c r="E371" s="29"/>
      <c r="F371" s="21"/>
      <c r="G371" s="39" t="s">
        <v>313</v>
      </c>
      <c r="H371" s="19">
        <f>+Gastos!H226</f>
        <v>92967000</v>
      </c>
      <c r="I371" s="37">
        <f>+Gastos!I226</f>
        <v>0</v>
      </c>
      <c r="J371" s="37">
        <f>+Gastos!J226</f>
        <v>0</v>
      </c>
      <c r="K371" s="37">
        <f>+Gastos!K226</f>
        <v>0</v>
      </c>
      <c r="L371" s="37">
        <f>+Gastos!L226</f>
        <v>3880502</v>
      </c>
      <c r="M371" s="37">
        <f>+Gastos!M226</f>
        <v>761708</v>
      </c>
      <c r="N371" s="37">
        <f>+Gastos!N226</f>
        <v>10963189</v>
      </c>
      <c r="O371" s="37">
        <f>+Gastos!O226</f>
        <v>1909952</v>
      </c>
      <c r="P371" s="37">
        <f>+Gastos!P226</f>
        <v>976531</v>
      </c>
      <c r="Q371" s="37">
        <f>+Gastos!Q226</f>
        <v>5236189</v>
      </c>
      <c r="R371" s="37">
        <f>+Gastos!R226</f>
        <v>0</v>
      </c>
      <c r="S371" s="37">
        <f>+Gastos!S226</f>
        <v>0</v>
      </c>
      <c r="T371" s="37">
        <f>+Gastos!T226</f>
        <v>0</v>
      </c>
      <c r="U371" s="38">
        <f>+Gastos!U226</f>
        <v>23728071</v>
      </c>
      <c r="V371" s="19">
        <f t="shared" si="109"/>
        <v>69238929</v>
      </c>
      <c r="W371" s="37">
        <f>+Gastos!W226</f>
        <v>0</v>
      </c>
      <c r="X371" s="65">
        <f>+Gastos!X226</f>
        <v>25.52311142663526</v>
      </c>
    </row>
    <row r="372" spans="1:24" ht="12.75" customHeight="1" hidden="1">
      <c r="A372" s="16"/>
      <c r="B372" s="28" t="s">
        <v>308</v>
      </c>
      <c r="C372" s="29" t="s">
        <v>35</v>
      </c>
      <c r="D372" s="22" t="s">
        <v>14</v>
      </c>
      <c r="E372" s="29"/>
      <c r="F372" s="21"/>
      <c r="G372" s="39" t="s">
        <v>314</v>
      </c>
      <c r="H372" s="20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6">
        <f t="shared" si="113"/>
        <v>0</v>
      </c>
      <c r="V372" s="20">
        <f t="shared" si="109"/>
        <v>0</v>
      </c>
      <c r="W372" s="35"/>
      <c r="X372" s="65" t="e">
        <f t="shared" si="108"/>
        <v>#DIV/0!</v>
      </c>
    </row>
    <row r="373" spans="1:24" ht="12.75" customHeight="1" hidden="1">
      <c r="A373" s="16"/>
      <c r="B373" s="28" t="s">
        <v>308</v>
      </c>
      <c r="C373" s="29" t="s">
        <v>35</v>
      </c>
      <c r="D373" s="22" t="s">
        <v>17</v>
      </c>
      <c r="E373" s="29"/>
      <c r="F373" s="21"/>
      <c r="G373" s="39" t="s">
        <v>315</v>
      </c>
      <c r="H373" s="20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6">
        <f t="shared" si="113"/>
        <v>0</v>
      </c>
      <c r="V373" s="20">
        <f t="shared" si="109"/>
        <v>0</v>
      </c>
      <c r="W373" s="35"/>
      <c r="X373" s="65" t="e">
        <f t="shared" si="108"/>
        <v>#DIV/0!</v>
      </c>
    </row>
    <row r="374" spans="1:24" ht="12.75" customHeight="1" hidden="1">
      <c r="A374" s="16"/>
      <c r="B374" s="28" t="s">
        <v>308</v>
      </c>
      <c r="C374" s="29" t="s">
        <v>35</v>
      </c>
      <c r="D374" s="22" t="s">
        <v>22</v>
      </c>
      <c r="E374" s="29"/>
      <c r="F374" s="21"/>
      <c r="G374" s="39" t="s">
        <v>316</v>
      </c>
      <c r="H374" s="20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6">
        <f t="shared" si="113"/>
        <v>0</v>
      </c>
      <c r="V374" s="20">
        <f t="shared" si="109"/>
        <v>0</v>
      </c>
      <c r="W374" s="35"/>
      <c r="X374" s="65" t="e">
        <f t="shared" si="108"/>
        <v>#DIV/0!</v>
      </c>
    </row>
    <row r="375" spans="1:24" ht="12.75">
      <c r="A375" s="16"/>
      <c r="B375" s="28" t="s">
        <v>308</v>
      </c>
      <c r="C375" s="29" t="s">
        <v>10</v>
      </c>
      <c r="D375" s="22"/>
      <c r="E375" s="29"/>
      <c r="F375" s="21"/>
      <c r="G375" s="39" t="s">
        <v>317</v>
      </c>
      <c r="H375" s="19">
        <f>+Gastos!H230</f>
        <v>97960000</v>
      </c>
      <c r="I375" s="37">
        <f>+Gastos!I230</f>
        <v>2538632</v>
      </c>
      <c r="J375" s="37">
        <f>+Gastos!J230</f>
        <v>5083870</v>
      </c>
      <c r="K375" s="37">
        <f>+Gastos!K230</f>
        <v>4291953</v>
      </c>
      <c r="L375" s="37">
        <f>+Gastos!L230</f>
        <v>5703352</v>
      </c>
      <c r="M375" s="37">
        <f>+Gastos!M230</f>
        <v>7137881</v>
      </c>
      <c r="N375" s="37">
        <f>+Gastos!N230</f>
        <v>5632914</v>
      </c>
      <c r="O375" s="37">
        <f>+Gastos!O230</f>
        <v>9193928</v>
      </c>
      <c r="P375" s="37">
        <f>+Gastos!P230</f>
        <v>3464130</v>
      </c>
      <c r="Q375" s="37">
        <f>+Gastos!Q230</f>
        <v>6608707</v>
      </c>
      <c r="R375" s="37">
        <f>+Gastos!R230</f>
        <v>0</v>
      </c>
      <c r="S375" s="37">
        <f>+Gastos!S230</f>
        <v>0</v>
      </c>
      <c r="T375" s="37">
        <f>+Gastos!T230</f>
        <v>0</v>
      </c>
      <c r="U375" s="38">
        <f>+Gastos!U230</f>
        <v>49655367</v>
      </c>
      <c r="V375" s="19">
        <f t="shared" si="109"/>
        <v>48304633</v>
      </c>
      <c r="W375" s="37">
        <f>+Gastos!W230</f>
        <v>0</v>
      </c>
      <c r="X375" s="65">
        <f>+Gastos!X230</f>
        <v>50.689431400571664</v>
      </c>
    </row>
    <row r="376" spans="1:24" ht="12.75" customHeight="1" hidden="1">
      <c r="A376" s="16"/>
      <c r="B376" s="28" t="s">
        <v>308</v>
      </c>
      <c r="C376" s="29" t="s">
        <v>10</v>
      </c>
      <c r="D376" s="22" t="s">
        <v>14</v>
      </c>
      <c r="E376" s="29"/>
      <c r="F376" s="21"/>
      <c r="G376" s="39" t="s">
        <v>318</v>
      </c>
      <c r="H376" s="20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6">
        <f t="shared" si="113"/>
        <v>0</v>
      </c>
      <c r="V376" s="20">
        <f t="shared" si="109"/>
        <v>0</v>
      </c>
      <c r="W376" s="35"/>
      <c r="X376" s="65" t="e">
        <f t="shared" si="108"/>
        <v>#DIV/0!</v>
      </c>
    </row>
    <row r="377" spans="1:24" ht="12.75" customHeight="1" hidden="1">
      <c r="A377" s="16"/>
      <c r="B377" s="28" t="s">
        <v>308</v>
      </c>
      <c r="C377" s="29" t="s">
        <v>10</v>
      </c>
      <c r="D377" s="22" t="s">
        <v>17</v>
      </c>
      <c r="E377" s="29"/>
      <c r="F377" s="21"/>
      <c r="G377" s="39" t="s">
        <v>319</v>
      </c>
      <c r="H377" s="20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6">
        <f t="shared" si="113"/>
        <v>0</v>
      </c>
      <c r="V377" s="20">
        <f t="shared" si="109"/>
        <v>0</v>
      </c>
      <c r="W377" s="35"/>
      <c r="X377" s="65" t="e">
        <f t="shared" si="108"/>
        <v>#DIV/0!</v>
      </c>
    </row>
    <row r="378" spans="1:24" ht="12.75" customHeight="1" hidden="1">
      <c r="A378" s="16"/>
      <c r="B378" s="28" t="s">
        <v>308</v>
      </c>
      <c r="C378" s="29" t="s">
        <v>10</v>
      </c>
      <c r="D378" s="22" t="s">
        <v>22</v>
      </c>
      <c r="E378" s="29"/>
      <c r="F378" s="21"/>
      <c r="G378" s="265" t="s">
        <v>320</v>
      </c>
      <c r="H378" s="20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6">
        <f t="shared" si="113"/>
        <v>0</v>
      </c>
      <c r="V378" s="20">
        <f t="shared" si="109"/>
        <v>0</v>
      </c>
      <c r="W378" s="35"/>
      <c r="X378" s="65" t="e">
        <f t="shared" si="108"/>
        <v>#DIV/0!</v>
      </c>
    </row>
    <row r="379" spans="1:24" ht="12.75" customHeight="1" hidden="1">
      <c r="A379" s="16"/>
      <c r="B379" s="28" t="s">
        <v>308</v>
      </c>
      <c r="C379" s="29" t="s">
        <v>10</v>
      </c>
      <c r="D379" s="22" t="s">
        <v>30</v>
      </c>
      <c r="E379" s="29"/>
      <c r="F379" s="21"/>
      <c r="G379" s="39" t="s">
        <v>321</v>
      </c>
      <c r="H379" s="20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6">
        <f t="shared" si="113"/>
        <v>0</v>
      </c>
      <c r="V379" s="20">
        <f t="shared" si="109"/>
        <v>0</v>
      </c>
      <c r="W379" s="35"/>
      <c r="X379" s="65" t="e">
        <f t="shared" si="108"/>
        <v>#DIV/0!</v>
      </c>
    </row>
    <row r="380" spans="1:24" ht="12.75">
      <c r="A380" s="16"/>
      <c r="B380" s="28" t="s">
        <v>308</v>
      </c>
      <c r="C380" s="29" t="s">
        <v>73</v>
      </c>
      <c r="D380" s="22"/>
      <c r="E380" s="29"/>
      <c r="F380" s="21"/>
      <c r="G380" s="39" t="s">
        <v>322</v>
      </c>
      <c r="H380" s="19">
        <f>+Gastos!H235</f>
        <v>325775000</v>
      </c>
      <c r="I380" s="37">
        <f>+Gastos!I235</f>
        <v>13864413</v>
      </c>
      <c r="J380" s="37">
        <f>+Gastos!J235</f>
        <v>13518468</v>
      </c>
      <c r="K380" s="37">
        <f>+Gastos!K235</f>
        <v>9257189</v>
      </c>
      <c r="L380" s="37">
        <f>+Gastos!L235</f>
        <v>34817320</v>
      </c>
      <c r="M380" s="37">
        <f>+Gastos!M235</f>
        <v>21762513</v>
      </c>
      <c r="N380" s="37">
        <f>+Gastos!N235</f>
        <v>33697948</v>
      </c>
      <c r="O380" s="37">
        <f>+Gastos!O235</f>
        <v>18454023</v>
      </c>
      <c r="P380" s="37">
        <f>+Gastos!P235</f>
        <v>28635224</v>
      </c>
      <c r="Q380" s="37">
        <f>+Gastos!Q235</f>
        <v>20241281</v>
      </c>
      <c r="R380" s="37">
        <f>+Gastos!R235</f>
        <v>0</v>
      </c>
      <c r="S380" s="37">
        <f>+Gastos!S235</f>
        <v>0</v>
      </c>
      <c r="T380" s="37">
        <f>+Gastos!T235</f>
        <v>0</v>
      </c>
      <c r="U380" s="38">
        <f>+Gastos!U235</f>
        <v>194248379</v>
      </c>
      <c r="V380" s="19">
        <f t="shared" si="109"/>
        <v>131526621</v>
      </c>
      <c r="W380" s="37">
        <f>+Gastos!W235</f>
        <v>0</v>
      </c>
      <c r="X380" s="65">
        <f>+Gastos!X235</f>
        <v>59.62654562197835</v>
      </c>
    </row>
    <row r="381" spans="1:24" ht="12.75" customHeight="1" hidden="1">
      <c r="A381" s="16"/>
      <c r="B381" s="28" t="s">
        <v>308</v>
      </c>
      <c r="C381" s="29" t="s">
        <v>73</v>
      </c>
      <c r="D381" s="22" t="s">
        <v>14</v>
      </c>
      <c r="E381" s="29"/>
      <c r="F381" s="21"/>
      <c r="G381" s="39" t="s">
        <v>323</v>
      </c>
      <c r="H381" s="20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6">
        <f t="shared" si="113"/>
        <v>0</v>
      </c>
      <c r="V381" s="20">
        <f t="shared" si="109"/>
        <v>0</v>
      </c>
      <c r="W381" s="35"/>
      <c r="X381" s="65" t="e">
        <f t="shared" si="108"/>
        <v>#DIV/0!</v>
      </c>
    </row>
    <row r="382" spans="1:24" ht="12.75" customHeight="1" hidden="1">
      <c r="A382" s="16"/>
      <c r="B382" s="28" t="s">
        <v>308</v>
      </c>
      <c r="C382" s="29" t="s">
        <v>73</v>
      </c>
      <c r="D382" s="22" t="s">
        <v>17</v>
      </c>
      <c r="E382" s="29"/>
      <c r="F382" s="21"/>
      <c r="G382" s="39" t="s">
        <v>324</v>
      </c>
      <c r="H382" s="20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6">
        <f t="shared" si="113"/>
        <v>0</v>
      </c>
      <c r="V382" s="20">
        <f t="shared" si="109"/>
        <v>0</v>
      </c>
      <c r="W382" s="35"/>
      <c r="X382" s="65" t="e">
        <f t="shared" si="108"/>
        <v>#DIV/0!</v>
      </c>
    </row>
    <row r="383" spans="1:24" ht="12.75" customHeight="1" hidden="1">
      <c r="A383" s="16"/>
      <c r="B383" s="28" t="s">
        <v>308</v>
      </c>
      <c r="C383" s="29" t="s">
        <v>73</v>
      </c>
      <c r="D383" s="22" t="s">
        <v>22</v>
      </c>
      <c r="E383" s="29"/>
      <c r="F383" s="21"/>
      <c r="G383" s="39" t="s">
        <v>325</v>
      </c>
      <c r="H383" s="20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6">
        <f t="shared" si="113"/>
        <v>0</v>
      </c>
      <c r="V383" s="20">
        <f t="shared" si="109"/>
        <v>0</v>
      </c>
      <c r="W383" s="35"/>
      <c r="X383" s="65" t="e">
        <f t="shared" si="108"/>
        <v>#DIV/0!</v>
      </c>
    </row>
    <row r="384" spans="1:24" ht="12.75" customHeight="1" hidden="1">
      <c r="A384" s="16"/>
      <c r="B384" s="28" t="s">
        <v>308</v>
      </c>
      <c r="C384" s="29" t="s">
        <v>73</v>
      </c>
      <c r="D384" s="22" t="s">
        <v>28</v>
      </c>
      <c r="E384" s="29"/>
      <c r="F384" s="21"/>
      <c r="G384" s="39" t="s">
        <v>326</v>
      </c>
      <c r="H384" s="20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6">
        <f t="shared" si="113"/>
        <v>0</v>
      </c>
      <c r="V384" s="20">
        <f t="shared" si="109"/>
        <v>0</v>
      </c>
      <c r="W384" s="35"/>
      <c r="X384" s="65" t="e">
        <f t="shared" si="108"/>
        <v>#DIV/0!</v>
      </c>
    </row>
    <row r="385" spans="1:24" ht="12.75" customHeight="1" hidden="1">
      <c r="A385" s="16"/>
      <c r="B385" s="28" t="s">
        <v>308</v>
      </c>
      <c r="C385" s="29" t="s">
        <v>73</v>
      </c>
      <c r="D385" s="22" t="s">
        <v>54</v>
      </c>
      <c r="E385" s="29"/>
      <c r="F385" s="21"/>
      <c r="G385" s="39" t="s">
        <v>327</v>
      </c>
      <c r="H385" s="20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6">
        <f t="shared" si="113"/>
        <v>0</v>
      </c>
      <c r="V385" s="20">
        <f t="shared" si="109"/>
        <v>0</v>
      </c>
      <c r="W385" s="35"/>
      <c r="X385" s="65" t="e">
        <f t="shared" si="108"/>
        <v>#DIV/0!</v>
      </c>
    </row>
    <row r="386" spans="1:24" ht="12.75" customHeight="1" hidden="1">
      <c r="A386" s="16"/>
      <c r="B386" s="28" t="s">
        <v>308</v>
      </c>
      <c r="C386" s="29" t="s">
        <v>73</v>
      </c>
      <c r="D386" s="22" t="s">
        <v>57</v>
      </c>
      <c r="E386" s="29"/>
      <c r="F386" s="21"/>
      <c r="G386" s="39" t="s">
        <v>328</v>
      </c>
      <c r="H386" s="20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6">
        <f t="shared" si="113"/>
        <v>0</v>
      </c>
      <c r="V386" s="20">
        <f t="shared" si="109"/>
        <v>0</v>
      </c>
      <c r="W386" s="35"/>
      <c r="X386" s="65" t="e">
        <f t="shared" si="108"/>
        <v>#DIV/0!</v>
      </c>
    </row>
    <row r="387" spans="1:24" ht="12.75" customHeight="1" hidden="1">
      <c r="A387" s="16"/>
      <c r="B387" s="28" t="s">
        <v>308</v>
      </c>
      <c r="C387" s="29" t="s">
        <v>73</v>
      </c>
      <c r="D387" s="22" t="s">
        <v>61</v>
      </c>
      <c r="E387" s="29"/>
      <c r="F387" s="21"/>
      <c r="G387" s="39" t="s">
        <v>329</v>
      </c>
      <c r="H387" s="20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6">
        <f t="shared" si="113"/>
        <v>0</v>
      </c>
      <c r="V387" s="20">
        <f t="shared" si="109"/>
        <v>0</v>
      </c>
      <c r="W387" s="35"/>
      <c r="X387" s="65" t="e">
        <f t="shared" si="108"/>
        <v>#DIV/0!</v>
      </c>
    </row>
    <row r="388" spans="1:24" ht="12.75" customHeight="1" hidden="1">
      <c r="A388" s="16"/>
      <c r="B388" s="28" t="s">
        <v>308</v>
      </c>
      <c r="C388" s="29" t="s">
        <v>73</v>
      </c>
      <c r="D388" s="22" t="s">
        <v>65</v>
      </c>
      <c r="E388" s="29"/>
      <c r="F388" s="21"/>
      <c r="G388" s="39" t="s">
        <v>330</v>
      </c>
      <c r="H388" s="20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6">
        <f t="shared" si="113"/>
        <v>0</v>
      </c>
      <c r="V388" s="20">
        <f t="shared" si="109"/>
        <v>0</v>
      </c>
      <c r="W388" s="35"/>
      <c r="X388" s="65" t="e">
        <f t="shared" si="108"/>
        <v>#DIV/0!</v>
      </c>
    </row>
    <row r="389" spans="1:24" ht="12.75" customHeight="1" hidden="1">
      <c r="A389" s="16"/>
      <c r="B389" s="28" t="s">
        <v>308</v>
      </c>
      <c r="C389" s="29" t="s">
        <v>73</v>
      </c>
      <c r="D389" s="22" t="s">
        <v>182</v>
      </c>
      <c r="E389" s="29"/>
      <c r="F389" s="21"/>
      <c r="G389" s="39" t="s">
        <v>331</v>
      </c>
      <c r="H389" s="20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6">
        <f t="shared" si="113"/>
        <v>0</v>
      </c>
      <c r="V389" s="20">
        <f t="shared" si="109"/>
        <v>0</v>
      </c>
      <c r="W389" s="35"/>
      <c r="X389" s="65" t="e">
        <f t="shared" si="108"/>
        <v>#DIV/0!</v>
      </c>
    </row>
    <row r="390" spans="1:24" ht="12.75" customHeight="1" hidden="1">
      <c r="A390" s="16"/>
      <c r="B390" s="28" t="s">
        <v>308</v>
      </c>
      <c r="C390" s="29" t="s">
        <v>73</v>
      </c>
      <c r="D390" s="22" t="s">
        <v>192</v>
      </c>
      <c r="E390" s="29"/>
      <c r="F390" s="21"/>
      <c r="G390" s="39" t="s">
        <v>332</v>
      </c>
      <c r="H390" s="20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6">
        <f t="shared" si="113"/>
        <v>0</v>
      </c>
      <c r="V390" s="20">
        <f t="shared" si="109"/>
        <v>0</v>
      </c>
      <c r="W390" s="35"/>
      <c r="X390" s="65" t="e">
        <f t="shared" si="108"/>
        <v>#DIV/0!</v>
      </c>
    </row>
    <row r="391" spans="1:24" ht="12.75" customHeight="1" hidden="1">
      <c r="A391" s="16"/>
      <c r="B391" s="28" t="s">
        <v>308</v>
      </c>
      <c r="C391" s="29" t="s">
        <v>73</v>
      </c>
      <c r="D391" s="22" t="s">
        <v>195</v>
      </c>
      <c r="E391" s="29"/>
      <c r="F391" s="21"/>
      <c r="G391" s="39" t="s">
        <v>333</v>
      </c>
      <c r="H391" s="20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6">
        <f t="shared" si="113"/>
        <v>0</v>
      </c>
      <c r="V391" s="20">
        <f t="shared" si="109"/>
        <v>0</v>
      </c>
      <c r="W391" s="35"/>
      <c r="X391" s="65" t="e">
        <f t="shared" si="108"/>
        <v>#DIV/0!</v>
      </c>
    </row>
    <row r="392" spans="1:24" ht="12.75" customHeight="1" hidden="1">
      <c r="A392" s="16"/>
      <c r="B392" s="28" t="s">
        <v>308</v>
      </c>
      <c r="C392" s="29" t="s">
        <v>73</v>
      </c>
      <c r="D392" s="22" t="s">
        <v>334</v>
      </c>
      <c r="E392" s="68"/>
      <c r="F392" s="58"/>
      <c r="G392" s="39" t="s">
        <v>335</v>
      </c>
      <c r="H392" s="20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6">
        <f t="shared" si="113"/>
        <v>0</v>
      </c>
      <c r="V392" s="20">
        <f t="shared" si="109"/>
        <v>0</v>
      </c>
      <c r="W392" s="35"/>
      <c r="X392" s="65" t="e">
        <f t="shared" si="108"/>
        <v>#DIV/0!</v>
      </c>
    </row>
    <row r="393" spans="1:24" ht="12.75" customHeight="1" hidden="1">
      <c r="A393" s="16"/>
      <c r="B393" s="28" t="s">
        <v>308</v>
      </c>
      <c r="C393" s="29" t="s">
        <v>73</v>
      </c>
      <c r="D393" s="22" t="s">
        <v>282</v>
      </c>
      <c r="E393" s="68"/>
      <c r="F393" s="58"/>
      <c r="G393" s="39" t="s">
        <v>336</v>
      </c>
      <c r="H393" s="20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6">
        <f t="shared" si="113"/>
        <v>0</v>
      </c>
      <c r="V393" s="20">
        <f t="shared" si="109"/>
        <v>0</v>
      </c>
      <c r="W393" s="35"/>
      <c r="X393" s="65" t="e">
        <f t="shared" si="108"/>
        <v>#DIV/0!</v>
      </c>
    </row>
    <row r="394" spans="1:24" ht="12.75" customHeight="1" hidden="1">
      <c r="A394" s="16"/>
      <c r="B394" s="28" t="s">
        <v>308</v>
      </c>
      <c r="C394" s="29" t="s">
        <v>73</v>
      </c>
      <c r="D394" s="22" t="s">
        <v>198</v>
      </c>
      <c r="E394" s="68"/>
      <c r="F394" s="58"/>
      <c r="G394" s="39" t="s">
        <v>337</v>
      </c>
      <c r="H394" s="20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6">
        <f t="shared" si="113"/>
        <v>0</v>
      </c>
      <c r="V394" s="20">
        <f t="shared" si="109"/>
        <v>0</v>
      </c>
      <c r="W394" s="35"/>
      <c r="X394" s="65" t="e">
        <f t="shared" si="108"/>
        <v>#DIV/0!</v>
      </c>
    </row>
    <row r="395" spans="1:24" ht="12.75" customHeight="1" hidden="1">
      <c r="A395" s="16"/>
      <c r="B395" s="28" t="s">
        <v>308</v>
      </c>
      <c r="C395" s="29" t="s">
        <v>73</v>
      </c>
      <c r="D395" s="22" t="s">
        <v>208</v>
      </c>
      <c r="E395" s="68"/>
      <c r="F395" s="58"/>
      <c r="G395" s="39" t="s">
        <v>338</v>
      </c>
      <c r="H395" s="20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6">
        <f t="shared" si="113"/>
        <v>0</v>
      </c>
      <c r="V395" s="20">
        <f t="shared" si="109"/>
        <v>0</v>
      </c>
      <c r="W395" s="35"/>
      <c r="X395" s="65" t="e">
        <f t="shared" si="108"/>
        <v>#DIV/0!</v>
      </c>
    </row>
    <row r="396" spans="1:24" ht="12.75" customHeight="1" hidden="1">
      <c r="A396" s="16"/>
      <c r="B396" s="28" t="s">
        <v>308</v>
      </c>
      <c r="C396" s="29" t="s">
        <v>73</v>
      </c>
      <c r="D396" s="22" t="s">
        <v>339</v>
      </c>
      <c r="E396" s="68"/>
      <c r="F396" s="58"/>
      <c r="G396" s="39" t="s">
        <v>340</v>
      </c>
      <c r="H396" s="20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6">
        <f t="shared" si="113"/>
        <v>0</v>
      </c>
      <c r="V396" s="20">
        <f t="shared" si="109"/>
        <v>0</v>
      </c>
      <c r="W396" s="35"/>
      <c r="X396" s="65" t="e">
        <f t="shared" si="108"/>
        <v>#DIV/0!</v>
      </c>
    </row>
    <row r="397" spans="1:24" ht="12.75" customHeight="1" hidden="1">
      <c r="A397" s="16"/>
      <c r="B397" s="28" t="s">
        <v>308</v>
      </c>
      <c r="C397" s="29" t="s">
        <v>73</v>
      </c>
      <c r="D397" s="22" t="s">
        <v>30</v>
      </c>
      <c r="E397" s="68"/>
      <c r="F397" s="58"/>
      <c r="G397" s="39" t="s">
        <v>31</v>
      </c>
      <c r="H397" s="20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6">
        <f t="shared" si="113"/>
        <v>0</v>
      </c>
      <c r="V397" s="20">
        <f t="shared" si="109"/>
        <v>0</v>
      </c>
      <c r="W397" s="35"/>
      <c r="X397" s="65" t="e">
        <f t="shared" si="108"/>
        <v>#DIV/0!</v>
      </c>
    </row>
    <row r="398" spans="1:24" ht="12.75">
      <c r="A398" s="16"/>
      <c r="B398" s="28" t="s">
        <v>308</v>
      </c>
      <c r="C398" s="29" t="s">
        <v>42</v>
      </c>
      <c r="D398" s="22"/>
      <c r="E398" s="29"/>
      <c r="F398" s="21"/>
      <c r="G398" s="266" t="s">
        <v>341</v>
      </c>
      <c r="H398" s="19">
        <f>+Gastos!H253</f>
        <v>3294208000</v>
      </c>
      <c r="I398" s="37">
        <f>+Gastos!I253</f>
        <v>218090327</v>
      </c>
      <c r="J398" s="37">
        <f>+Gastos!J253</f>
        <v>273594838</v>
      </c>
      <c r="K398" s="37">
        <f>+Gastos!K253</f>
        <v>319913267</v>
      </c>
      <c r="L398" s="37">
        <f>+Gastos!L253</f>
        <v>266442638</v>
      </c>
      <c r="M398" s="37">
        <f>+Gastos!M253</f>
        <v>276828718</v>
      </c>
      <c r="N398" s="37">
        <f>+Gastos!N253</f>
        <v>294175661</v>
      </c>
      <c r="O398" s="37">
        <f>+Gastos!O253</f>
        <v>271409722</v>
      </c>
      <c r="P398" s="37">
        <f>+Gastos!P253</f>
        <v>286589069</v>
      </c>
      <c r="Q398" s="37">
        <f>+Gastos!Q253</f>
        <v>270612249</v>
      </c>
      <c r="R398" s="37">
        <f>+Gastos!R253</f>
        <v>0</v>
      </c>
      <c r="S398" s="37">
        <f>+Gastos!S253</f>
        <v>0</v>
      </c>
      <c r="T398" s="37">
        <f>+Gastos!T253</f>
        <v>0</v>
      </c>
      <c r="U398" s="38">
        <f>+Gastos!U253</f>
        <v>2477656489</v>
      </c>
      <c r="V398" s="19">
        <f t="shared" si="109"/>
        <v>816551511</v>
      </c>
      <c r="W398" s="37">
        <f>+Gastos!W253</f>
        <v>0</v>
      </c>
      <c r="X398" s="65">
        <f>+Gastos!X253</f>
        <v>75.21250901582414</v>
      </c>
    </row>
    <row r="399" spans="1:24" ht="12.75" customHeight="1" hidden="1">
      <c r="A399" s="16"/>
      <c r="B399" s="28" t="s">
        <v>308</v>
      </c>
      <c r="C399" s="29" t="s">
        <v>42</v>
      </c>
      <c r="D399" s="22" t="s">
        <v>14</v>
      </c>
      <c r="E399" s="29"/>
      <c r="F399" s="21"/>
      <c r="G399" s="266" t="s">
        <v>342</v>
      </c>
      <c r="H399" s="20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6">
        <f t="shared" si="113"/>
        <v>0</v>
      </c>
      <c r="V399" s="20">
        <f t="shared" si="109"/>
        <v>0</v>
      </c>
      <c r="W399" s="35"/>
      <c r="X399" s="65" t="e">
        <f t="shared" si="108"/>
        <v>#DIV/0!</v>
      </c>
    </row>
    <row r="400" spans="1:24" ht="12.75" customHeight="1" hidden="1">
      <c r="A400" s="16"/>
      <c r="B400" s="28" t="s">
        <v>308</v>
      </c>
      <c r="C400" s="29" t="s">
        <v>42</v>
      </c>
      <c r="D400" s="22" t="s">
        <v>17</v>
      </c>
      <c r="E400" s="29"/>
      <c r="F400" s="21"/>
      <c r="G400" s="266" t="s">
        <v>343</v>
      </c>
      <c r="H400" s="20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6">
        <f t="shared" si="113"/>
        <v>0</v>
      </c>
      <c r="V400" s="20">
        <f t="shared" si="109"/>
        <v>0</v>
      </c>
      <c r="W400" s="35"/>
      <c r="X400" s="65" t="e">
        <f t="shared" si="108"/>
        <v>#DIV/0!</v>
      </c>
    </row>
    <row r="401" spans="1:24" ht="12.75" customHeight="1" hidden="1">
      <c r="A401" s="16"/>
      <c r="B401" s="28" t="s">
        <v>308</v>
      </c>
      <c r="C401" s="29" t="s">
        <v>42</v>
      </c>
      <c r="D401" s="22" t="s">
        <v>22</v>
      </c>
      <c r="E401" s="29"/>
      <c r="F401" s="21"/>
      <c r="G401" s="266" t="s">
        <v>344</v>
      </c>
      <c r="H401" s="20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6">
        <f t="shared" si="113"/>
        <v>0</v>
      </c>
      <c r="V401" s="20">
        <f t="shared" si="109"/>
        <v>0</v>
      </c>
      <c r="W401" s="35"/>
      <c r="X401" s="65" t="e">
        <f t="shared" si="108"/>
        <v>#DIV/0!</v>
      </c>
    </row>
    <row r="402" spans="1:24" ht="12.75" customHeight="1" hidden="1">
      <c r="A402" s="16"/>
      <c r="B402" s="28" t="s">
        <v>308</v>
      </c>
      <c r="C402" s="29" t="s">
        <v>42</v>
      </c>
      <c r="D402" s="22" t="s">
        <v>28</v>
      </c>
      <c r="E402" s="29"/>
      <c r="F402" s="21"/>
      <c r="G402" s="266" t="s">
        <v>345</v>
      </c>
      <c r="H402" s="20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6">
        <f t="shared" si="113"/>
        <v>0</v>
      </c>
      <c r="V402" s="20">
        <f t="shared" si="109"/>
        <v>0</v>
      </c>
      <c r="W402" s="35"/>
      <c r="X402" s="65" t="e">
        <f t="shared" si="108"/>
        <v>#DIV/0!</v>
      </c>
    </row>
    <row r="403" spans="1:24" ht="12.75" customHeight="1" hidden="1">
      <c r="A403" s="16"/>
      <c r="B403" s="28" t="s">
        <v>308</v>
      </c>
      <c r="C403" s="29" t="s">
        <v>42</v>
      </c>
      <c r="D403" s="22" t="s">
        <v>54</v>
      </c>
      <c r="E403" s="29"/>
      <c r="F403" s="21"/>
      <c r="G403" s="266" t="s">
        <v>346</v>
      </c>
      <c r="H403" s="20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6">
        <f t="shared" si="113"/>
        <v>0</v>
      </c>
      <c r="V403" s="20">
        <f t="shared" si="109"/>
        <v>0</v>
      </c>
      <c r="W403" s="35"/>
      <c r="X403" s="65" t="e">
        <f t="shared" si="108"/>
        <v>#DIV/0!</v>
      </c>
    </row>
    <row r="404" spans="1:24" ht="12.75" customHeight="1" hidden="1">
      <c r="A404" s="16"/>
      <c r="B404" s="28" t="s">
        <v>308</v>
      </c>
      <c r="C404" s="29" t="s">
        <v>42</v>
      </c>
      <c r="D404" s="22" t="s">
        <v>57</v>
      </c>
      <c r="E404" s="68"/>
      <c r="F404" s="58"/>
      <c r="G404" s="266" t="s">
        <v>347</v>
      </c>
      <c r="H404" s="20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6">
        <f t="shared" si="113"/>
        <v>0</v>
      </c>
      <c r="V404" s="20">
        <f t="shared" si="109"/>
        <v>0</v>
      </c>
      <c r="W404" s="35"/>
      <c r="X404" s="65" t="e">
        <f t="shared" si="108"/>
        <v>#DIV/0!</v>
      </c>
    </row>
    <row r="405" spans="1:24" ht="12.75" customHeight="1" hidden="1">
      <c r="A405" s="16"/>
      <c r="B405" s="28" t="s">
        <v>308</v>
      </c>
      <c r="C405" s="29" t="s">
        <v>42</v>
      </c>
      <c r="D405" s="22" t="s">
        <v>61</v>
      </c>
      <c r="E405" s="29"/>
      <c r="F405" s="21"/>
      <c r="G405" s="266" t="s">
        <v>348</v>
      </c>
      <c r="H405" s="20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6">
        <f t="shared" si="113"/>
        <v>0</v>
      </c>
      <c r="V405" s="20">
        <f t="shared" si="109"/>
        <v>0</v>
      </c>
      <c r="W405" s="35"/>
      <c r="X405" s="65" t="e">
        <f t="shared" si="108"/>
        <v>#DIV/0!</v>
      </c>
    </row>
    <row r="406" spans="1:24" ht="12.75" customHeight="1" hidden="1">
      <c r="A406" s="16"/>
      <c r="B406" s="28" t="s">
        <v>308</v>
      </c>
      <c r="C406" s="29" t="s">
        <v>42</v>
      </c>
      <c r="D406" s="22" t="s">
        <v>65</v>
      </c>
      <c r="E406" s="29"/>
      <c r="F406" s="21"/>
      <c r="G406" s="266" t="s">
        <v>349</v>
      </c>
      <c r="H406" s="20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6">
        <f t="shared" si="113"/>
        <v>0</v>
      </c>
      <c r="V406" s="20">
        <f t="shared" si="109"/>
        <v>0</v>
      </c>
      <c r="W406" s="35"/>
      <c r="X406" s="65" t="e">
        <f t="shared" si="108"/>
        <v>#DIV/0!</v>
      </c>
    </row>
    <row r="407" spans="1:24" ht="12.75" customHeight="1" hidden="1">
      <c r="A407" s="16"/>
      <c r="B407" s="28" t="s">
        <v>308</v>
      </c>
      <c r="C407" s="29" t="s">
        <v>42</v>
      </c>
      <c r="D407" s="22" t="s">
        <v>30</v>
      </c>
      <c r="E407" s="29"/>
      <c r="F407" s="21"/>
      <c r="G407" s="266" t="s">
        <v>31</v>
      </c>
      <c r="H407" s="20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6">
        <f t="shared" si="113"/>
        <v>0</v>
      </c>
      <c r="V407" s="20">
        <f t="shared" si="109"/>
        <v>0</v>
      </c>
      <c r="W407" s="35"/>
      <c r="X407" s="65" t="e">
        <f t="shared" si="108"/>
        <v>#DIV/0!</v>
      </c>
    </row>
    <row r="408" spans="1:24" ht="12.75">
      <c r="A408" s="16"/>
      <c r="B408" s="28" t="s">
        <v>308</v>
      </c>
      <c r="C408" s="29" t="s">
        <v>76</v>
      </c>
      <c r="D408" s="22"/>
      <c r="E408" s="29"/>
      <c r="F408" s="21"/>
      <c r="G408" s="39" t="s">
        <v>350</v>
      </c>
      <c r="H408" s="19">
        <f>+Gastos!H263</f>
        <v>91879000</v>
      </c>
      <c r="I408" s="37">
        <f>+Gastos!I263</f>
        <v>962115</v>
      </c>
      <c r="J408" s="37">
        <f>+Gastos!J263</f>
        <v>5986541</v>
      </c>
      <c r="K408" s="37">
        <f>+Gastos!K263</f>
        <v>1936261</v>
      </c>
      <c r="L408" s="37">
        <f>+Gastos!L263</f>
        <v>2185278</v>
      </c>
      <c r="M408" s="37">
        <f>+Gastos!M263</f>
        <v>893679</v>
      </c>
      <c r="N408" s="37">
        <f>+Gastos!N263</f>
        <v>12424717</v>
      </c>
      <c r="O408" s="37">
        <f>+Gastos!O263</f>
        <v>1824442</v>
      </c>
      <c r="P408" s="37">
        <f>+Gastos!P263</f>
        <v>2344297</v>
      </c>
      <c r="Q408" s="37">
        <f>+Gastos!Q263</f>
        <v>5017382</v>
      </c>
      <c r="R408" s="37">
        <f>+Gastos!R263</f>
        <v>0</v>
      </c>
      <c r="S408" s="37">
        <f>+Gastos!S263</f>
        <v>0</v>
      </c>
      <c r="T408" s="37">
        <f>+Gastos!T263</f>
        <v>0</v>
      </c>
      <c r="U408" s="38">
        <f>+Gastos!U263</f>
        <v>33574712</v>
      </c>
      <c r="V408" s="19">
        <f t="shared" si="109"/>
        <v>58304288</v>
      </c>
      <c r="W408" s="37">
        <f>+Gastos!W263</f>
        <v>0</v>
      </c>
      <c r="X408" s="65">
        <f>+Gastos!X263</f>
        <v>36.54231325983087</v>
      </c>
    </row>
    <row r="409" spans="1:24" ht="12.75" customHeight="1" hidden="1">
      <c r="A409" s="16"/>
      <c r="B409" s="28" t="s">
        <v>308</v>
      </c>
      <c r="C409" s="29" t="s">
        <v>76</v>
      </c>
      <c r="D409" s="22" t="s">
        <v>14</v>
      </c>
      <c r="E409" s="29"/>
      <c r="F409" s="21"/>
      <c r="G409" s="39" t="s">
        <v>351</v>
      </c>
      <c r="H409" s="20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6">
        <f t="shared" si="113"/>
        <v>0</v>
      </c>
      <c r="V409" s="20">
        <f t="shared" si="109"/>
        <v>0</v>
      </c>
      <c r="W409" s="35"/>
      <c r="X409" s="65" t="e">
        <f t="shared" si="108"/>
        <v>#DIV/0!</v>
      </c>
    </row>
    <row r="410" spans="1:24" ht="12.75" customHeight="1" hidden="1">
      <c r="A410" s="16"/>
      <c r="B410" s="28" t="s">
        <v>308</v>
      </c>
      <c r="C410" s="29" t="s">
        <v>76</v>
      </c>
      <c r="D410" s="22" t="s">
        <v>17</v>
      </c>
      <c r="E410" s="29"/>
      <c r="F410" s="21"/>
      <c r="G410" s="39" t="s">
        <v>352</v>
      </c>
      <c r="H410" s="20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6">
        <f t="shared" si="113"/>
        <v>0</v>
      </c>
      <c r="V410" s="20">
        <f t="shared" si="109"/>
        <v>0</v>
      </c>
      <c r="W410" s="35"/>
      <c r="X410" s="65" t="e">
        <f t="shared" si="108"/>
        <v>#DIV/0!</v>
      </c>
    </row>
    <row r="411" spans="1:24" ht="12.75" customHeight="1" hidden="1">
      <c r="A411" s="16"/>
      <c r="B411" s="28" t="s">
        <v>308</v>
      </c>
      <c r="C411" s="29" t="s">
        <v>76</v>
      </c>
      <c r="D411" s="22" t="s">
        <v>22</v>
      </c>
      <c r="E411" s="29"/>
      <c r="F411" s="21"/>
      <c r="G411" s="39" t="s">
        <v>353</v>
      </c>
      <c r="H411" s="20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6">
        <f t="shared" si="113"/>
        <v>0</v>
      </c>
      <c r="V411" s="20">
        <f t="shared" si="109"/>
        <v>0</v>
      </c>
      <c r="W411" s="35"/>
      <c r="X411" s="65" t="e">
        <f aca="true" t="shared" si="114" ref="X411:X474">SUM(V411/I411)*100</f>
        <v>#DIV/0!</v>
      </c>
    </row>
    <row r="412" spans="1:24" ht="12.75" customHeight="1" hidden="1">
      <c r="A412" s="16"/>
      <c r="B412" s="28" t="s">
        <v>308</v>
      </c>
      <c r="C412" s="29" t="s">
        <v>76</v>
      </c>
      <c r="D412" s="22" t="s">
        <v>28</v>
      </c>
      <c r="E412" s="29"/>
      <c r="F412" s="21"/>
      <c r="G412" s="39" t="s">
        <v>354</v>
      </c>
      <c r="H412" s="20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6">
        <f t="shared" si="113"/>
        <v>0</v>
      </c>
      <c r="V412" s="20">
        <f t="shared" si="109"/>
        <v>0</v>
      </c>
      <c r="W412" s="35"/>
      <c r="X412" s="65" t="e">
        <f t="shared" si="114"/>
        <v>#DIV/0!</v>
      </c>
    </row>
    <row r="413" spans="1:24" ht="12.75" customHeight="1" hidden="1">
      <c r="A413" s="16"/>
      <c r="B413" s="28" t="s">
        <v>308</v>
      </c>
      <c r="C413" s="29" t="s">
        <v>76</v>
      </c>
      <c r="D413" s="22" t="s">
        <v>54</v>
      </c>
      <c r="E413" s="68"/>
      <c r="F413" s="58"/>
      <c r="G413" s="39" t="s">
        <v>355</v>
      </c>
      <c r="H413" s="20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6">
        <f t="shared" si="113"/>
        <v>0</v>
      </c>
      <c r="V413" s="20">
        <f t="shared" si="109"/>
        <v>0</v>
      </c>
      <c r="W413" s="35"/>
      <c r="X413" s="65" t="e">
        <f t="shared" si="114"/>
        <v>#DIV/0!</v>
      </c>
    </row>
    <row r="414" spans="1:24" ht="12.75" customHeight="1" hidden="1">
      <c r="A414" s="16"/>
      <c r="B414" s="28" t="s">
        <v>308</v>
      </c>
      <c r="C414" s="29" t="s">
        <v>76</v>
      </c>
      <c r="D414" s="22" t="s">
        <v>57</v>
      </c>
      <c r="E414" s="29"/>
      <c r="F414" s="21"/>
      <c r="G414" s="39" t="s">
        <v>356</v>
      </c>
      <c r="H414" s="20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6">
        <f t="shared" si="113"/>
        <v>0</v>
      </c>
      <c r="V414" s="20">
        <f aca="true" t="shared" si="115" ref="V414:V477">H414-U414</f>
        <v>0</v>
      </c>
      <c r="W414" s="35"/>
      <c r="X414" s="65" t="e">
        <f t="shared" si="114"/>
        <v>#DIV/0!</v>
      </c>
    </row>
    <row r="415" spans="1:24" ht="12.75" customHeight="1" hidden="1">
      <c r="A415" s="16"/>
      <c r="B415" s="28" t="s">
        <v>308</v>
      </c>
      <c r="C415" s="29" t="s">
        <v>76</v>
      </c>
      <c r="D415" s="22" t="s">
        <v>61</v>
      </c>
      <c r="E415" s="29"/>
      <c r="F415" s="21"/>
      <c r="G415" s="39" t="s">
        <v>357</v>
      </c>
      <c r="H415" s="20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6">
        <f t="shared" si="113"/>
        <v>0</v>
      </c>
      <c r="V415" s="20">
        <f t="shared" si="115"/>
        <v>0</v>
      </c>
      <c r="W415" s="35"/>
      <c r="X415" s="65" t="e">
        <f t="shared" si="114"/>
        <v>#DIV/0!</v>
      </c>
    </row>
    <row r="416" spans="1:24" ht="12.75" customHeight="1" hidden="1">
      <c r="A416" s="16"/>
      <c r="B416" s="28" t="s">
        <v>308</v>
      </c>
      <c r="C416" s="29" t="s">
        <v>76</v>
      </c>
      <c r="D416" s="22" t="s">
        <v>30</v>
      </c>
      <c r="E416" s="29"/>
      <c r="F416" s="21"/>
      <c r="G416" s="39" t="s">
        <v>31</v>
      </c>
      <c r="H416" s="19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6">
        <f t="shared" si="113"/>
        <v>0</v>
      </c>
      <c r="V416" s="19">
        <f t="shared" si="115"/>
        <v>0</v>
      </c>
      <c r="W416" s="37"/>
      <c r="X416" s="65" t="e">
        <f t="shared" si="114"/>
        <v>#DIV/0!</v>
      </c>
    </row>
    <row r="417" spans="1:24" ht="12.75">
      <c r="A417" s="16"/>
      <c r="B417" s="28" t="s">
        <v>308</v>
      </c>
      <c r="C417" s="29" t="s">
        <v>78</v>
      </c>
      <c r="D417" s="22"/>
      <c r="E417" s="29"/>
      <c r="F417" s="21"/>
      <c r="G417" s="39" t="s">
        <v>358</v>
      </c>
      <c r="H417" s="19">
        <f>+Gastos!H272</f>
        <v>313867000</v>
      </c>
      <c r="I417" s="37">
        <f>+Gastos!I272</f>
        <v>4582494</v>
      </c>
      <c r="J417" s="37">
        <f>+Gastos!J272</f>
        <v>3127112</v>
      </c>
      <c r="K417" s="37">
        <f>+Gastos!K272</f>
        <v>9246168</v>
      </c>
      <c r="L417" s="37">
        <f>+Gastos!L272</f>
        <v>17293985</v>
      </c>
      <c r="M417" s="37">
        <f>+Gastos!M272</f>
        <v>38911790</v>
      </c>
      <c r="N417" s="37">
        <f>+Gastos!N272</f>
        <v>55203211</v>
      </c>
      <c r="O417" s="37">
        <f>+Gastos!O272</f>
        <v>17719592</v>
      </c>
      <c r="P417" s="37">
        <f>+Gastos!P272</f>
        <v>49922610</v>
      </c>
      <c r="Q417" s="37">
        <f>+Gastos!Q272</f>
        <v>10216124</v>
      </c>
      <c r="R417" s="37">
        <f>+Gastos!R272</f>
        <v>0</v>
      </c>
      <c r="S417" s="37">
        <f>+Gastos!S272</f>
        <v>0</v>
      </c>
      <c r="T417" s="37">
        <f>+Gastos!T272</f>
        <v>0</v>
      </c>
      <c r="U417" s="38">
        <f>+Gastos!U272</f>
        <v>206223086</v>
      </c>
      <c r="V417" s="19">
        <f t="shared" si="115"/>
        <v>107643914</v>
      </c>
      <c r="W417" s="37">
        <f>+Gastos!W272</f>
        <v>0</v>
      </c>
      <c r="X417" s="65">
        <f>+Gastos!X272</f>
        <v>65.7039720646006</v>
      </c>
    </row>
    <row r="418" spans="1:24" ht="12.75" customHeight="1" hidden="1">
      <c r="A418" s="16"/>
      <c r="B418" s="28" t="s">
        <v>308</v>
      </c>
      <c r="C418" s="29" t="s">
        <v>78</v>
      </c>
      <c r="D418" s="22" t="s">
        <v>14</v>
      </c>
      <c r="E418" s="29"/>
      <c r="F418" s="21"/>
      <c r="G418" s="39" t="s">
        <v>359</v>
      </c>
      <c r="H418" s="20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6">
        <f t="shared" si="113"/>
        <v>0</v>
      </c>
      <c r="V418" s="20">
        <f t="shared" si="115"/>
        <v>0</v>
      </c>
      <c r="W418" s="35"/>
      <c r="X418" s="65" t="e">
        <f t="shared" si="114"/>
        <v>#DIV/0!</v>
      </c>
    </row>
    <row r="419" spans="1:24" ht="12.75" customHeight="1" hidden="1">
      <c r="A419" s="16"/>
      <c r="B419" s="28" t="s">
        <v>308</v>
      </c>
      <c r="C419" s="29" t="s">
        <v>78</v>
      </c>
      <c r="D419" s="22" t="s">
        <v>17</v>
      </c>
      <c r="E419" s="69"/>
      <c r="F419" s="44"/>
      <c r="G419" s="39" t="s">
        <v>360</v>
      </c>
      <c r="H419" s="20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6">
        <f t="shared" si="113"/>
        <v>0</v>
      </c>
      <c r="V419" s="20">
        <f t="shared" si="115"/>
        <v>0</v>
      </c>
      <c r="W419" s="35"/>
      <c r="X419" s="65" t="e">
        <f t="shared" si="114"/>
        <v>#DIV/0!</v>
      </c>
    </row>
    <row r="420" spans="1:24" ht="12.75" customHeight="1" hidden="1">
      <c r="A420" s="16"/>
      <c r="B420" s="28" t="s">
        <v>308</v>
      </c>
      <c r="C420" s="29" t="s">
        <v>78</v>
      </c>
      <c r="D420" s="22" t="s">
        <v>22</v>
      </c>
      <c r="E420" s="69"/>
      <c r="F420" s="44"/>
      <c r="G420" s="39" t="s">
        <v>361</v>
      </c>
      <c r="H420" s="20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6">
        <f t="shared" si="113"/>
        <v>0</v>
      </c>
      <c r="V420" s="20">
        <f t="shared" si="115"/>
        <v>0</v>
      </c>
      <c r="W420" s="35"/>
      <c r="X420" s="65" t="e">
        <f t="shared" si="114"/>
        <v>#DIV/0!</v>
      </c>
    </row>
    <row r="421" spans="1:24" ht="12.75" customHeight="1" hidden="1">
      <c r="A421" s="16"/>
      <c r="B421" s="28" t="s">
        <v>308</v>
      </c>
      <c r="C421" s="29" t="s">
        <v>78</v>
      </c>
      <c r="D421" s="22" t="s">
        <v>30</v>
      </c>
      <c r="E421" s="29"/>
      <c r="F421" s="21"/>
      <c r="G421" s="39" t="s">
        <v>31</v>
      </c>
      <c r="H421" s="20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6">
        <f t="shared" si="113"/>
        <v>0</v>
      </c>
      <c r="V421" s="20">
        <f t="shared" si="115"/>
        <v>0</v>
      </c>
      <c r="W421" s="35"/>
      <c r="X421" s="65" t="e">
        <f t="shared" si="114"/>
        <v>#DIV/0!</v>
      </c>
    </row>
    <row r="422" spans="1:24" ht="12.75">
      <c r="A422" s="16"/>
      <c r="B422" s="28" t="s">
        <v>308</v>
      </c>
      <c r="C422" s="29" t="s">
        <v>89</v>
      </c>
      <c r="D422" s="22"/>
      <c r="E422" s="29"/>
      <c r="F422" s="21"/>
      <c r="G422" s="39" t="s">
        <v>362</v>
      </c>
      <c r="H422" s="19">
        <f>+Gastos!H277</f>
        <v>9989002000</v>
      </c>
      <c r="I422" s="37">
        <f>+Gastos!I277</f>
        <v>735417681</v>
      </c>
      <c r="J422" s="37">
        <f>+Gastos!J277</f>
        <v>690373654</v>
      </c>
      <c r="K422" s="37">
        <f>+Gastos!K277</f>
        <v>855050403</v>
      </c>
      <c r="L422" s="37">
        <f>+Gastos!L277</f>
        <v>811200249</v>
      </c>
      <c r="M422" s="37">
        <f>+Gastos!M277</f>
        <v>636096627</v>
      </c>
      <c r="N422" s="37">
        <f>+Gastos!N277</f>
        <v>695648777</v>
      </c>
      <c r="O422" s="37">
        <f>+Gastos!O277</f>
        <v>827026088</v>
      </c>
      <c r="P422" s="37">
        <f>+Gastos!P277</f>
        <v>593790171</v>
      </c>
      <c r="Q422" s="37">
        <f>+Gastos!Q277</f>
        <v>999410432</v>
      </c>
      <c r="R422" s="37">
        <f>+Gastos!R277</f>
        <v>0</v>
      </c>
      <c r="S422" s="37">
        <f>+Gastos!S277</f>
        <v>0</v>
      </c>
      <c r="T422" s="37">
        <f>+Gastos!T277</f>
        <v>0</v>
      </c>
      <c r="U422" s="38">
        <f>+Gastos!U277</f>
        <v>6844014082</v>
      </c>
      <c r="V422" s="19">
        <f t="shared" si="115"/>
        <v>3144987918</v>
      </c>
      <c r="W422" s="37">
        <f>+Gastos!W277</f>
        <v>0</v>
      </c>
      <c r="X422" s="65">
        <f>+Gastos!X277</f>
        <v>68.5154941604777</v>
      </c>
    </row>
    <row r="423" spans="1:24" ht="12.75" customHeight="1" hidden="1">
      <c r="A423" s="16"/>
      <c r="B423" s="28" t="s">
        <v>308</v>
      </c>
      <c r="C423" s="29" t="s">
        <v>89</v>
      </c>
      <c r="D423" s="22" t="s">
        <v>14</v>
      </c>
      <c r="E423" s="29"/>
      <c r="F423" s="21"/>
      <c r="G423" s="39" t="s">
        <v>363</v>
      </c>
      <c r="H423" s="20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6">
        <f t="shared" si="113"/>
        <v>0</v>
      </c>
      <c r="V423" s="20">
        <f t="shared" si="115"/>
        <v>0</v>
      </c>
      <c r="W423" s="35"/>
      <c r="X423" s="65" t="e">
        <f t="shared" si="114"/>
        <v>#DIV/0!</v>
      </c>
    </row>
    <row r="424" spans="1:24" ht="12.75" customHeight="1" hidden="1">
      <c r="A424" s="16"/>
      <c r="B424" s="28" t="s">
        <v>308</v>
      </c>
      <c r="C424" s="29" t="s">
        <v>89</v>
      </c>
      <c r="D424" s="22" t="s">
        <v>17</v>
      </c>
      <c r="E424" s="29"/>
      <c r="F424" s="21"/>
      <c r="G424" s="39" t="s">
        <v>364</v>
      </c>
      <c r="H424" s="20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6">
        <f t="shared" si="113"/>
        <v>0</v>
      </c>
      <c r="V424" s="20">
        <f t="shared" si="115"/>
        <v>0</v>
      </c>
      <c r="W424" s="35"/>
      <c r="X424" s="65" t="e">
        <f t="shared" si="114"/>
        <v>#DIV/0!</v>
      </c>
    </row>
    <row r="425" spans="1:24" ht="12.75" customHeight="1" hidden="1">
      <c r="A425" s="16"/>
      <c r="B425" s="28" t="s">
        <v>308</v>
      </c>
      <c r="C425" s="29" t="s">
        <v>89</v>
      </c>
      <c r="D425" s="22" t="s">
        <v>22</v>
      </c>
      <c r="E425" s="29"/>
      <c r="F425" s="21"/>
      <c r="G425" s="39" t="s">
        <v>365</v>
      </c>
      <c r="H425" s="20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6">
        <f t="shared" si="113"/>
        <v>0</v>
      </c>
      <c r="V425" s="20">
        <f t="shared" si="115"/>
        <v>0</v>
      </c>
      <c r="W425" s="35"/>
      <c r="X425" s="65" t="e">
        <f t="shared" si="114"/>
        <v>#DIV/0!</v>
      </c>
    </row>
    <row r="426" spans="1:24" ht="12.75" customHeight="1" hidden="1">
      <c r="A426" s="16"/>
      <c r="B426" s="28" t="s">
        <v>308</v>
      </c>
      <c r="C426" s="29" t="s">
        <v>89</v>
      </c>
      <c r="D426" s="22" t="s">
        <v>28</v>
      </c>
      <c r="E426" s="29"/>
      <c r="F426" s="21"/>
      <c r="G426" s="39" t="s">
        <v>366</v>
      </c>
      <c r="H426" s="20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6">
        <f t="shared" si="113"/>
        <v>0</v>
      </c>
      <c r="V426" s="20">
        <f t="shared" si="115"/>
        <v>0</v>
      </c>
      <c r="W426" s="35"/>
      <c r="X426" s="65" t="e">
        <f t="shared" si="114"/>
        <v>#DIV/0!</v>
      </c>
    </row>
    <row r="427" spans="1:24" ht="12.75" customHeight="1" hidden="1">
      <c r="A427" s="16"/>
      <c r="B427" s="28" t="s">
        <v>308</v>
      </c>
      <c r="C427" s="29" t="s">
        <v>89</v>
      </c>
      <c r="D427" s="22" t="s">
        <v>54</v>
      </c>
      <c r="E427" s="29"/>
      <c r="F427" s="21"/>
      <c r="G427" s="39" t="s">
        <v>367</v>
      </c>
      <c r="H427" s="20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6">
        <f t="shared" si="113"/>
        <v>0</v>
      </c>
      <c r="V427" s="20">
        <f t="shared" si="115"/>
        <v>0</v>
      </c>
      <c r="W427" s="35"/>
      <c r="X427" s="65" t="e">
        <f t="shared" si="114"/>
        <v>#DIV/0!</v>
      </c>
    </row>
    <row r="428" spans="1:24" ht="12.75" customHeight="1" hidden="1">
      <c r="A428" s="16"/>
      <c r="B428" s="28" t="s">
        <v>308</v>
      </c>
      <c r="C428" s="29" t="s">
        <v>89</v>
      </c>
      <c r="D428" s="22" t="s">
        <v>57</v>
      </c>
      <c r="E428" s="29"/>
      <c r="F428" s="21"/>
      <c r="G428" s="39" t="s">
        <v>368</v>
      </c>
      <c r="H428" s="20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6">
        <f t="shared" si="113"/>
        <v>0</v>
      </c>
      <c r="V428" s="20">
        <f t="shared" si="115"/>
        <v>0</v>
      </c>
      <c r="W428" s="35"/>
      <c r="X428" s="65" t="e">
        <f t="shared" si="114"/>
        <v>#DIV/0!</v>
      </c>
    </row>
    <row r="429" spans="1:24" ht="12.75" customHeight="1" hidden="1">
      <c r="A429" s="16"/>
      <c r="B429" s="28" t="s">
        <v>308</v>
      </c>
      <c r="C429" s="29" t="s">
        <v>89</v>
      </c>
      <c r="D429" s="22" t="s">
        <v>61</v>
      </c>
      <c r="E429" s="29"/>
      <c r="F429" s="21"/>
      <c r="G429" s="39" t="s">
        <v>369</v>
      </c>
      <c r="H429" s="20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6">
        <f t="shared" si="113"/>
        <v>0</v>
      </c>
      <c r="V429" s="20">
        <f t="shared" si="115"/>
        <v>0</v>
      </c>
      <c r="W429" s="35"/>
      <c r="X429" s="65" t="e">
        <f t="shared" si="114"/>
        <v>#DIV/0!</v>
      </c>
    </row>
    <row r="430" spans="1:24" ht="12.75" customHeight="1" hidden="1">
      <c r="A430" s="16"/>
      <c r="B430" s="28" t="s">
        <v>308</v>
      </c>
      <c r="C430" s="29" t="s">
        <v>89</v>
      </c>
      <c r="D430" s="22" t="s">
        <v>65</v>
      </c>
      <c r="E430" s="29"/>
      <c r="F430" s="21"/>
      <c r="G430" s="39" t="s">
        <v>370</v>
      </c>
      <c r="H430" s="20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6">
        <f t="shared" si="113"/>
        <v>0</v>
      </c>
      <c r="V430" s="20">
        <f t="shared" si="115"/>
        <v>0</v>
      </c>
      <c r="W430" s="35"/>
      <c r="X430" s="65" t="e">
        <f t="shared" si="114"/>
        <v>#DIV/0!</v>
      </c>
    </row>
    <row r="431" spans="1:24" ht="12.75" customHeight="1" hidden="1">
      <c r="A431" s="16"/>
      <c r="B431" s="28" t="s">
        <v>308</v>
      </c>
      <c r="C431" s="29" t="s">
        <v>89</v>
      </c>
      <c r="D431" s="22" t="s">
        <v>182</v>
      </c>
      <c r="E431" s="29"/>
      <c r="F431" s="21"/>
      <c r="G431" s="39" t="s">
        <v>371</v>
      </c>
      <c r="H431" s="20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6">
        <f t="shared" si="113"/>
        <v>0</v>
      </c>
      <c r="V431" s="20">
        <f t="shared" si="115"/>
        <v>0</v>
      </c>
      <c r="W431" s="35"/>
      <c r="X431" s="65" t="e">
        <f t="shared" si="114"/>
        <v>#DIV/0!</v>
      </c>
    </row>
    <row r="432" spans="1:24" ht="12.75" customHeight="1" hidden="1">
      <c r="A432" s="16"/>
      <c r="B432" s="28" t="s">
        <v>308</v>
      </c>
      <c r="C432" s="29" t="s">
        <v>89</v>
      </c>
      <c r="D432" s="22" t="s">
        <v>192</v>
      </c>
      <c r="E432" s="29"/>
      <c r="F432" s="21"/>
      <c r="G432" s="39" t="s">
        <v>372</v>
      </c>
      <c r="H432" s="20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6">
        <f t="shared" si="113"/>
        <v>0</v>
      </c>
      <c r="V432" s="20">
        <f t="shared" si="115"/>
        <v>0</v>
      </c>
      <c r="W432" s="35"/>
      <c r="X432" s="65" t="e">
        <f t="shared" si="114"/>
        <v>#DIV/0!</v>
      </c>
    </row>
    <row r="433" spans="1:24" ht="12.75" customHeight="1" hidden="1">
      <c r="A433" s="16"/>
      <c r="B433" s="28" t="s">
        <v>308</v>
      </c>
      <c r="C433" s="29" t="s">
        <v>89</v>
      </c>
      <c r="D433" s="22" t="s">
        <v>195</v>
      </c>
      <c r="E433" s="29"/>
      <c r="F433" s="21"/>
      <c r="G433" s="39" t="s">
        <v>373</v>
      </c>
      <c r="H433" s="20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6">
        <f aca="true" t="shared" si="116" ref="U433:U460">SUM(I433:T433)</f>
        <v>0</v>
      </c>
      <c r="V433" s="20">
        <f t="shared" si="115"/>
        <v>0</v>
      </c>
      <c r="W433" s="35"/>
      <c r="X433" s="65" t="e">
        <f t="shared" si="114"/>
        <v>#DIV/0!</v>
      </c>
    </row>
    <row r="434" spans="1:24" ht="12.75" customHeight="1" hidden="1">
      <c r="A434" s="16"/>
      <c r="B434" s="28" t="s">
        <v>308</v>
      </c>
      <c r="C434" s="29" t="s">
        <v>89</v>
      </c>
      <c r="D434" s="22" t="s">
        <v>30</v>
      </c>
      <c r="E434" s="29"/>
      <c r="F434" s="21"/>
      <c r="G434" s="39" t="s">
        <v>31</v>
      </c>
      <c r="H434" s="20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6">
        <f t="shared" si="116"/>
        <v>0</v>
      </c>
      <c r="V434" s="20">
        <f t="shared" si="115"/>
        <v>0</v>
      </c>
      <c r="W434" s="35"/>
      <c r="X434" s="65" t="e">
        <f t="shared" si="114"/>
        <v>#DIV/0!</v>
      </c>
    </row>
    <row r="435" spans="1:24" ht="12.75">
      <c r="A435" s="16"/>
      <c r="B435" s="28" t="s">
        <v>308</v>
      </c>
      <c r="C435" s="29" t="s">
        <v>135</v>
      </c>
      <c r="D435" s="59"/>
      <c r="E435" s="68"/>
      <c r="F435" s="58"/>
      <c r="G435" s="39" t="s">
        <v>374</v>
      </c>
      <c r="H435" s="19">
        <f>+Gastos!H290</f>
        <v>198773000</v>
      </c>
      <c r="I435" s="37">
        <f>+Gastos!I290</f>
        <v>2239197</v>
      </c>
      <c r="J435" s="37">
        <f>+Gastos!J290</f>
        <v>3321351</v>
      </c>
      <c r="K435" s="37">
        <f>+Gastos!K290</f>
        <v>6017707</v>
      </c>
      <c r="L435" s="37">
        <f>+Gastos!L290</f>
        <v>9131570</v>
      </c>
      <c r="M435" s="37">
        <f>+Gastos!M290</f>
        <v>13361853</v>
      </c>
      <c r="N435" s="37">
        <f>+Gastos!N290</f>
        <v>12143717</v>
      </c>
      <c r="O435" s="37">
        <f>+Gastos!O290</f>
        <v>47799869</v>
      </c>
      <c r="P435" s="37">
        <f>+Gastos!P290</f>
        <v>4213838</v>
      </c>
      <c r="Q435" s="37">
        <f>+Gastos!Q290</f>
        <v>7591642</v>
      </c>
      <c r="R435" s="37">
        <f>+Gastos!R290</f>
        <v>0</v>
      </c>
      <c r="S435" s="37">
        <f>+Gastos!S290</f>
        <v>0</v>
      </c>
      <c r="T435" s="37">
        <f>+Gastos!T290</f>
        <v>0</v>
      </c>
      <c r="U435" s="38">
        <f>+Gastos!U290</f>
        <v>105820744</v>
      </c>
      <c r="V435" s="19">
        <f t="shared" si="115"/>
        <v>92952256</v>
      </c>
      <c r="W435" s="37">
        <f>+Gastos!W290</f>
        <v>0</v>
      </c>
      <c r="X435" s="65">
        <f>+Gastos!X290</f>
        <v>53.236980877684594</v>
      </c>
    </row>
    <row r="436" spans="1:24" ht="12.75" customHeight="1" hidden="1">
      <c r="A436" s="16"/>
      <c r="B436" s="28" t="s">
        <v>308</v>
      </c>
      <c r="C436" s="29" t="s">
        <v>135</v>
      </c>
      <c r="D436" s="22" t="s">
        <v>14</v>
      </c>
      <c r="E436" s="29"/>
      <c r="F436" s="21"/>
      <c r="G436" s="39" t="s">
        <v>375</v>
      </c>
      <c r="H436" s="20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6">
        <f t="shared" si="116"/>
        <v>0</v>
      </c>
      <c r="V436" s="20">
        <f t="shared" si="115"/>
        <v>0</v>
      </c>
      <c r="W436" s="35"/>
      <c r="X436" s="65" t="e">
        <f t="shared" si="114"/>
        <v>#DIV/0!</v>
      </c>
    </row>
    <row r="437" spans="1:24" ht="12.75" customHeight="1" hidden="1">
      <c r="A437" s="16"/>
      <c r="B437" s="28" t="s">
        <v>308</v>
      </c>
      <c r="C437" s="29" t="s">
        <v>135</v>
      </c>
      <c r="D437" s="22" t="s">
        <v>17</v>
      </c>
      <c r="E437" s="29"/>
      <c r="F437" s="21"/>
      <c r="G437" s="39" t="s">
        <v>376</v>
      </c>
      <c r="H437" s="20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6">
        <f t="shared" si="116"/>
        <v>0</v>
      </c>
      <c r="V437" s="20">
        <f t="shared" si="115"/>
        <v>0</v>
      </c>
      <c r="W437" s="35"/>
      <c r="X437" s="65" t="e">
        <f t="shared" si="114"/>
        <v>#DIV/0!</v>
      </c>
    </row>
    <row r="438" spans="1:24" ht="12.75" customHeight="1" hidden="1">
      <c r="A438" s="16"/>
      <c r="B438" s="28" t="s">
        <v>308</v>
      </c>
      <c r="C438" s="29" t="s">
        <v>135</v>
      </c>
      <c r="D438" s="22" t="s">
        <v>22</v>
      </c>
      <c r="E438" s="29"/>
      <c r="F438" s="21"/>
      <c r="G438" s="39" t="s">
        <v>377</v>
      </c>
      <c r="H438" s="20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6">
        <f t="shared" si="116"/>
        <v>0</v>
      </c>
      <c r="V438" s="20">
        <f t="shared" si="115"/>
        <v>0</v>
      </c>
      <c r="W438" s="35"/>
      <c r="X438" s="65" t="e">
        <f t="shared" si="114"/>
        <v>#DIV/0!</v>
      </c>
    </row>
    <row r="439" spans="1:24" ht="12.75" customHeight="1" hidden="1">
      <c r="A439" s="16"/>
      <c r="B439" s="28" t="s">
        <v>308</v>
      </c>
      <c r="C439" s="29" t="s">
        <v>135</v>
      </c>
      <c r="D439" s="22" t="s">
        <v>28</v>
      </c>
      <c r="E439" s="29"/>
      <c r="F439" s="21"/>
      <c r="G439" s="39" t="s">
        <v>378</v>
      </c>
      <c r="H439" s="20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6">
        <f t="shared" si="116"/>
        <v>0</v>
      </c>
      <c r="V439" s="20">
        <f t="shared" si="115"/>
        <v>0</v>
      </c>
      <c r="W439" s="35"/>
      <c r="X439" s="65" t="e">
        <f t="shared" si="114"/>
        <v>#DIV/0!</v>
      </c>
    </row>
    <row r="440" spans="1:24" ht="12.75" customHeight="1" hidden="1">
      <c r="A440" s="16"/>
      <c r="B440" s="28" t="s">
        <v>308</v>
      </c>
      <c r="C440" s="29" t="s">
        <v>135</v>
      </c>
      <c r="D440" s="22" t="s">
        <v>54</v>
      </c>
      <c r="E440" s="29"/>
      <c r="F440" s="21"/>
      <c r="G440" s="39" t="s">
        <v>379</v>
      </c>
      <c r="H440" s="20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6">
        <f t="shared" si="116"/>
        <v>0</v>
      </c>
      <c r="V440" s="20">
        <f t="shared" si="115"/>
        <v>0</v>
      </c>
      <c r="W440" s="35"/>
      <c r="X440" s="65" t="e">
        <f t="shared" si="114"/>
        <v>#DIV/0!</v>
      </c>
    </row>
    <row r="441" spans="1:24" ht="12.75" customHeight="1" hidden="1">
      <c r="A441" s="16"/>
      <c r="B441" s="28" t="s">
        <v>308</v>
      </c>
      <c r="C441" s="29" t="s">
        <v>135</v>
      </c>
      <c r="D441" s="22" t="s">
        <v>57</v>
      </c>
      <c r="E441" s="29"/>
      <c r="F441" s="21"/>
      <c r="G441" s="39" t="s">
        <v>380</v>
      </c>
      <c r="H441" s="20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6">
        <f t="shared" si="116"/>
        <v>0</v>
      </c>
      <c r="V441" s="20">
        <f t="shared" si="115"/>
        <v>0</v>
      </c>
      <c r="W441" s="35"/>
      <c r="X441" s="65" t="e">
        <f t="shared" si="114"/>
        <v>#DIV/0!</v>
      </c>
    </row>
    <row r="442" spans="1:24" ht="12.75" customHeight="1" hidden="1">
      <c r="A442" s="16"/>
      <c r="B442" s="28" t="s">
        <v>308</v>
      </c>
      <c r="C442" s="29" t="s">
        <v>135</v>
      </c>
      <c r="D442" s="264">
        <v>999</v>
      </c>
      <c r="E442" s="69"/>
      <c r="F442" s="44"/>
      <c r="G442" s="39" t="s">
        <v>31</v>
      </c>
      <c r="H442" s="20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6">
        <f t="shared" si="116"/>
        <v>0</v>
      </c>
      <c r="V442" s="20">
        <f t="shared" si="115"/>
        <v>0</v>
      </c>
      <c r="W442" s="35"/>
      <c r="X442" s="65" t="e">
        <f t="shared" si="114"/>
        <v>#DIV/0!</v>
      </c>
    </row>
    <row r="443" spans="1:24" ht="12.75">
      <c r="A443" s="16"/>
      <c r="B443" s="28" t="s">
        <v>308</v>
      </c>
      <c r="C443" s="66">
        <v>10</v>
      </c>
      <c r="D443" s="267"/>
      <c r="E443" s="69"/>
      <c r="F443" s="44"/>
      <c r="G443" s="39" t="s">
        <v>381</v>
      </c>
      <c r="H443" s="19">
        <f>+Gastos!H298</f>
        <v>28900000</v>
      </c>
      <c r="I443" s="37">
        <f>+Gastos!I298</f>
        <v>2796688</v>
      </c>
      <c r="J443" s="37">
        <f>+Gastos!J298</f>
        <v>0</v>
      </c>
      <c r="K443" s="37">
        <f>+Gastos!K298</f>
        <v>0</v>
      </c>
      <c r="L443" s="37">
        <f>+Gastos!L298</f>
        <v>379300</v>
      </c>
      <c r="M443" s="37">
        <f>+Gastos!M298</f>
        <v>0</v>
      </c>
      <c r="N443" s="37">
        <f>+Gastos!N298</f>
        <v>0</v>
      </c>
      <c r="O443" s="37">
        <f>+Gastos!O298</f>
        <v>0</v>
      </c>
      <c r="P443" s="37">
        <f>+Gastos!P298</f>
        <v>0</v>
      </c>
      <c r="Q443" s="37">
        <f>+Gastos!Q298</f>
        <v>10443660</v>
      </c>
      <c r="R443" s="37">
        <f>+Gastos!R298</f>
        <v>0</v>
      </c>
      <c r="S443" s="37">
        <f>+Gastos!S298</f>
        <v>0</v>
      </c>
      <c r="T443" s="37">
        <f>+Gastos!T298</f>
        <v>0</v>
      </c>
      <c r="U443" s="38">
        <f>+Gastos!U298</f>
        <v>13619648</v>
      </c>
      <c r="V443" s="19">
        <f t="shared" si="115"/>
        <v>15280352</v>
      </c>
      <c r="W443" s="37">
        <f>+Gastos!W298</f>
        <v>0</v>
      </c>
      <c r="X443" s="65">
        <f>+Gastos!X298</f>
        <v>47.12680968858132</v>
      </c>
    </row>
    <row r="444" spans="1:24" ht="12.75" customHeight="1" hidden="1">
      <c r="A444" s="16"/>
      <c r="B444" s="28" t="s">
        <v>308</v>
      </c>
      <c r="C444" s="29" t="s">
        <v>112</v>
      </c>
      <c r="D444" s="22" t="s">
        <v>14</v>
      </c>
      <c r="E444" s="69"/>
      <c r="F444" s="44"/>
      <c r="G444" s="39" t="s">
        <v>382</v>
      </c>
      <c r="H444" s="20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6">
        <f t="shared" si="116"/>
        <v>0</v>
      </c>
      <c r="V444" s="20">
        <f t="shared" si="115"/>
        <v>0</v>
      </c>
      <c r="W444" s="35"/>
      <c r="X444" s="65" t="e">
        <f t="shared" si="114"/>
        <v>#DIV/0!</v>
      </c>
    </row>
    <row r="445" spans="1:24" ht="12.75" customHeight="1" hidden="1">
      <c r="A445" s="16"/>
      <c r="B445" s="28" t="s">
        <v>308</v>
      </c>
      <c r="C445" s="29" t="s">
        <v>112</v>
      </c>
      <c r="D445" s="22" t="s">
        <v>17</v>
      </c>
      <c r="E445" s="69"/>
      <c r="F445" s="44"/>
      <c r="G445" s="39" t="s">
        <v>383</v>
      </c>
      <c r="H445" s="20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6">
        <f t="shared" si="116"/>
        <v>0</v>
      </c>
      <c r="V445" s="20">
        <f t="shared" si="115"/>
        <v>0</v>
      </c>
      <c r="W445" s="35"/>
      <c r="X445" s="65" t="e">
        <f t="shared" si="114"/>
        <v>#DIV/0!</v>
      </c>
    </row>
    <row r="446" spans="1:24" ht="12.75" customHeight="1" hidden="1">
      <c r="A446" s="16"/>
      <c r="B446" s="28" t="s">
        <v>308</v>
      </c>
      <c r="C446" s="29" t="s">
        <v>112</v>
      </c>
      <c r="D446" s="22" t="s">
        <v>22</v>
      </c>
      <c r="E446" s="69"/>
      <c r="F446" s="44"/>
      <c r="G446" s="39" t="s">
        <v>384</v>
      </c>
      <c r="H446" s="20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6">
        <f t="shared" si="116"/>
        <v>0</v>
      </c>
      <c r="V446" s="20">
        <f t="shared" si="115"/>
        <v>0</v>
      </c>
      <c r="W446" s="35"/>
      <c r="X446" s="65" t="e">
        <f t="shared" si="114"/>
        <v>#DIV/0!</v>
      </c>
    </row>
    <row r="447" spans="1:24" ht="12.75" customHeight="1" hidden="1">
      <c r="A447" s="16"/>
      <c r="B447" s="28" t="s">
        <v>308</v>
      </c>
      <c r="C447" s="29" t="s">
        <v>112</v>
      </c>
      <c r="D447" s="22" t="s">
        <v>28</v>
      </c>
      <c r="E447" s="69"/>
      <c r="F447" s="44"/>
      <c r="G447" s="39" t="s">
        <v>385</v>
      </c>
      <c r="H447" s="20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6">
        <f t="shared" si="116"/>
        <v>0</v>
      </c>
      <c r="V447" s="20">
        <f t="shared" si="115"/>
        <v>0</v>
      </c>
      <c r="W447" s="35"/>
      <c r="X447" s="65" t="e">
        <f t="shared" si="114"/>
        <v>#DIV/0!</v>
      </c>
    </row>
    <row r="448" spans="1:24" ht="12.75" customHeight="1" hidden="1">
      <c r="A448" s="16"/>
      <c r="B448" s="28" t="s">
        <v>308</v>
      </c>
      <c r="C448" s="29" t="s">
        <v>112</v>
      </c>
      <c r="D448" s="264">
        <v>999</v>
      </c>
      <c r="E448" s="69"/>
      <c r="F448" s="44"/>
      <c r="G448" s="39" t="s">
        <v>31</v>
      </c>
      <c r="H448" s="20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6">
        <f t="shared" si="116"/>
        <v>0</v>
      </c>
      <c r="V448" s="20">
        <f t="shared" si="115"/>
        <v>0</v>
      </c>
      <c r="W448" s="35"/>
      <c r="X448" s="65" t="e">
        <f t="shared" si="114"/>
        <v>#DIV/0!</v>
      </c>
    </row>
    <row r="449" spans="1:24" ht="12.75">
      <c r="A449" s="16"/>
      <c r="B449" s="28" t="s">
        <v>308</v>
      </c>
      <c r="C449" s="66">
        <v>11</v>
      </c>
      <c r="D449" s="267"/>
      <c r="E449" s="69"/>
      <c r="F449" s="44"/>
      <c r="G449" s="39" t="s">
        <v>386</v>
      </c>
      <c r="H449" s="19">
        <f>+Gastos!H304</f>
        <v>145290000</v>
      </c>
      <c r="I449" s="37">
        <f>+Gastos!I304</f>
        <v>9074406</v>
      </c>
      <c r="J449" s="37">
        <f>+Gastos!J304</f>
        <v>3195564</v>
      </c>
      <c r="K449" s="37">
        <f>+Gastos!K304</f>
        <v>8798045</v>
      </c>
      <c r="L449" s="37">
        <f>+Gastos!L304</f>
        <v>9030928</v>
      </c>
      <c r="M449" s="37">
        <f>+Gastos!M304</f>
        <v>4456779</v>
      </c>
      <c r="N449" s="37">
        <f>+Gastos!N304</f>
        <v>14251660</v>
      </c>
      <c r="O449" s="37">
        <f>+Gastos!O304</f>
        <v>16217679</v>
      </c>
      <c r="P449" s="37">
        <f>+Gastos!P304</f>
        <v>4360334</v>
      </c>
      <c r="Q449" s="37">
        <f>+Gastos!Q304</f>
        <v>19472468</v>
      </c>
      <c r="R449" s="37">
        <f>+Gastos!R304</f>
        <v>0</v>
      </c>
      <c r="S449" s="37">
        <f>+Gastos!S304</f>
        <v>0</v>
      </c>
      <c r="T449" s="37">
        <f>+Gastos!T304</f>
        <v>0</v>
      </c>
      <c r="U449" s="38">
        <f>+Gastos!U304</f>
        <v>88857863</v>
      </c>
      <c r="V449" s="19">
        <f t="shared" si="115"/>
        <v>56432137</v>
      </c>
      <c r="W449" s="37">
        <f>+Gastos!W304</f>
        <v>0</v>
      </c>
      <c r="X449" s="65">
        <f>+Gastos!X304</f>
        <v>61.158966893798606</v>
      </c>
    </row>
    <row r="450" spans="1:24" ht="12.75" customHeight="1" hidden="1">
      <c r="A450" s="16"/>
      <c r="B450" s="28" t="s">
        <v>308</v>
      </c>
      <c r="C450" s="29" t="s">
        <v>122</v>
      </c>
      <c r="D450" s="22" t="s">
        <v>14</v>
      </c>
      <c r="E450" s="69"/>
      <c r="F450" s="44"/>
      <c r="G450" s="39" t="s">
        <v>387</v>
      </c>
      <c r="H450" s="20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6">
        <f t="shared" si="116"/>
        <v>0</v>
      </c>
      <c r="V450" s="20">
        <f t="shared" si="115"/>
        <v>0</v>
      </c>
      <c r="W450" s="35"/>
      <c r="X450" s="65" t="e">
        <f t="shared" si="114"/>
        <v>#DIV/0!</v>
      </c>
    </row>
    <row r="451" spans="1:24" ht="12.75" customHeight="1" hidden="1">
      <c r="A451" s="16"/>
      <c r="B451" s="28" t="s">
        <v>308</v>
      </c>
      <c r="C451" s="29" t="s">
        <v>122</v>
      </c>
      <c r="D451" s="22" t="s">
        <v>17</v>
      </c>
      <c r="E451" s="69"/>
      <c r="F451" s="44"/>
      <c r="G451" s="39" t="s">
        <v>388</v>
      </c>
      <c r="H451" s="20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6">
        <f t="shared" si="116"/>
        <v>0</v>
      </c>
      <c r="V451" s="20">
        <f t="shared" si="115"/>
        <v>0</v>
      </c>
      <c r="W451" s="35"/>
      <c r="X451" s="65" t="e">
        <f t="shared" si="114"/>
        <v>#DIV/0!</v>
      </c>
    </row>
    <row r="452" spans="1:24" ht="12.75" customHeight="1" hidden="1">
      <c r="A452" s="16"/>
      <c r="B452" s="28" t="s">
        <v>308</v>
      </c>
      <c r="C452" s="29" t="s">
        <v>122</v>
      </c>
      <c r="D452" s="22" t="s">
        <v>22</v>
      </c>
      <c r="E452" s="69"/>
      <c r="F452" s="44"/>
      <c r="G452" s="39" t="s">
        <v>389</v>
      </c>
      <c r="H452" s="20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6">
        <f t="shared" si="116"/>
        <v>0</v>
      </c>
      <c r="V452" s="20">
        <f t="shared" si="115"/>
        <v>0</v>
      </c>
      <c r="W452" s="35"/>
      <c r="X452" s="65" t="e">
        <f t="shared" si="114"/>
        <v>#DIV/0!</v>
      </c>
    </row>
    <row r="453" spans="1:24" ht="12.75" customHeight="1" hidden="1">
      <c r="A453" s="16"/>
      <c r="B453" s="28" t="s">
        <v>308</v>
      </c>
      <c r="C453" s="29" t="s">
        <v>122</v>
      </c>
      <c r="D453" s="264">
        <v>999</v>
      </c>
      <c r="E453" s="69"/>
      <c r="F453" s="44"/>
      <c r="G453" s="39" t="s">
        <v>31</v>
      </c>
      <c r="H453" s="20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6">
        <f t="shared" si="116"/>
        <v>0</v>
      </c>
      <c r="V453" s="20">
        <f t="shared" si="115"/>
        <v>0</v>
      </c>
      <c r="W453" s="35"/>
      <c r="X453" s="65" t="e">
        <f t="shared" si="114"/>
        <v>#DIV/0!</v>
      </c>
    </row>
    <row r="454" spans="1:24" ht="22.5">
      <c r="A454" s="16"/>
      <c r="B454" s="268" t="s">
        <v>308</v>
      </c>
      <c r="C454" s="269">
        <v>12</v>
      </c>
      <c r="D454" s="267"/>
      <c r="E454" s="69"/>
      <c r="F454" s="44"/>
      <c r="G454" s="40" t="s">
        <v>390</v>
      </c>
      <c r="H454" s="19">
        <f>+Gastos!H309</f>
        <v>51631000</v>
      </c>
      <c r="I454" s="37">
        <f>+Gastos!I309</f>
        <v>2978096</v>
      </c>
      <c r="J454" s="37">
        <f>+Gastos!J309</f>
        <v>6942205</v>
      </c>
      <c r="K454" s="37">
        <f>+Gastos!K309</f>
        <v>1968405</v>
      </c>
      <c r="L454" s="37">
        <f>+Gastos!L309</f>
        <v>1769389</v>
      </c>
      <c r="M454" s="37">
        <f>+Gastos!M309</f>
        <v>4059664</v>
      </c>
      <c r="N454" s="37">
        <f>+Gastos!N309</f>
        <v>5141134</v>
      </c>
      <c r="O454" s="37">
        <f>+Gastos!O309</f>
        <v>10636135</v>
      </c>
      <c r="P454" s="37">
        <f>+Gastos!P309</f>
        <v>5346725</v>
      </c>
      <c r="Q454" s="37">
        <f>+Gastos!Q309</f>
        <v>1847316</v>
      </c>
      <c r="R454" s="37">
        <f>+Gastos!R309</f>
        <v>0</v>
      </c>
      <c r="S454" s="37">
        <f>+Gastos!S309</f>
        <v>0</v>
      </c>
      <c r="T454" s="37">
        <f>+Gastos!T309</f>
        <v>0</v>
      </c>
      <c r="U454" s="38">
        <f>+Gastos!U309</f>
        <v>40689069</v>
      </c>
      <c r="V454" s="19">
        <f t="shared" si="115"/>
        <v>10941931</v>
      </c>
      <c r="W454" s="37">
        <f>+Gastos!W309</f>
        <v>52254</v>
      </c>
      <c r="X454" s="65">
        <f>+Gastos!X309</f>
        <v>78.80743932908524</v>
      </c>
    </row>
    <row r="455" spans="1:24" ht="12.75" customHeight="1" hidden="1">
      <c r="A455" s="16"/>
      <c r="B455" s="28" t="s">
        <v>308</v>
      </c>
      <c r="C455" s="66">
        <v>12</v>
      </c>
      <c r="D455" s="22" t="s">
        <v>14</v>
      </c>
      <c r="E455" s="69"/>
      <c r="F455" s="44"/>
      <c r="G455" s="39" t="s">
        <v>391</v>
      </c>
      <c r="H455" s="20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6">
        <f t="shared" si="116"/>
        <v>0</v>
      </c>
      <c r="V455" s="20">
        <f t="shared" si="115"/>
        <v>0</v>
      </c>
      <c r="W455" s="35"/>
      <c r="X455" s="65" t="e">
        <f t="shared" si="114"/>
        <v>#DIV/0!</v>
      </c>
    </row>
    <row r="456" spans="1:24" ht="12.75" customHeight="1" hidden="1">
      <c r="A456" s="16"/>
      <c r="B456" s="28" t="s">
        <v>308</v>
      </c>
      <c r="C456" s="66">
        <v>12</v>
      </c>
      <c r="D456" s="22" t="s">
        <v>17</v>
      </c>
      <c r="E456" s="69"/>
      <c r="F456" s="44"/>
      <c r="G456" s="39" t="s">
        <v>392</v>
      </c>
      <c r="H456" s="20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6">
        <f t="shared" si="116"/>
        <v>0</v>
      </c>
      <c r="V456" s="20">
        <f t="shared" si="115"/>
        <v>0</v>
      </c>
      <c r="W456" s="35"/>
      <c r="X456" s="65" t="e">
        <f t="shared" si="114"/>
        <v>#DIV/0!</v>
      </c>
    </row>
    <row r="457" spans="1:24" ht="12.75" customHeight="1" hidden="1">
      <c r="A457" s="16"/>
      <c r="B457" s="28" t="s">
        <v>308</v>
      </c>
      <c r="C457" s="66">
        <v>12</v>
      </c>
      <c r="D457" s="22" t="s">
        <v>22</v>
      </c>
      <c r="E457" s="69"/>
      <c r="F457" s="44"/>
      <c r="G457" s="39" t="s">
        <v>393</v>
      </c>
      <c r="H457" s="20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6">
        <f t="shared" si="116"/>
        <v>0</v>
      </c>
      <c r="V457" s="20">
        <f t="shared" si="115"/>
        <v>0</v>
      </c>
      <c r="W457" s="35"/>
      <c r="X457" s="65" t="e">
        <f t="shared" si="114"/>
        <v>#DIV/0!</v>
      </c>
    </row>
    <row r="458" spans="1:24" ht="12.75" customHeight="1" hidden="1">
      <c r="A458" s="16"/>
      <c r="B458" s="28" t="s">
        <v>308</v>
      </c>
      <c r="C458" s="66">
        <v>12</v>
      </c>
      <c r="D458" s="22" t="s">
        <v>28</v>
      </c>
      <c r="E458" s="69"/>
      <c r="F458" s="44"/>
      <c r="G458" s="39" t="s">
        <v>394</v>
      </c>
      <c r="H458" s="20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6">
        <f t="shared" si="116"/>
        <v>0</v>
      </c>
      <c r="V458" s="20">
        <f t="shared" si="115"/>
        <v>0</v>
      </c>
      <c r="W458" s="35"/>
      <c r="X458" s="65" t="e">
        <f t="shared" si="114"/>
        <v>#DIV/0!</v>
      </c>
    </row>
    <row r="459" spans="1:24" ht="12.75" customHeight="1" hidden="1">
      <c r="A459" s="16"/>
      <c r="B459" s="28" t="s">
        <v>308</v>
      </c>
      <c r="C459" s="66">
        <v>12</v>
      </c>
      <c r="D459" s="22" t="s">
        <v>54</v>
      </c>
      <c r="E459" s="69"/>
      <c r="F459" s="44"/>
      <c r="G459" s="39" t="s">
        <v>395</v>
      </c>
      <c r="H459" s="20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6">
        <f t="shared" si="116"/>
        <v>0</v>
      </c>
      <c r="V459" s="20">
        <f t="shared" si="115"/>
        <v>0</v>
      </c>
      <c r="W459" s="35"/>
      <c r="X459" s="65" t="e">
        <f t="shared" si="114"/>
        <v>#DIV/0!</v>
      </c>
    </row>
    <row r="460" spans="1:24" ht="12.75" customHeight="1" hidden="1">
      <c r="A460" s="16"/>
      <c r="B460" s="28" t="s">
        <v>308</v>
      </c>
      <c r="C460" s="66">
        <v>12</v>
      </c>
      <c r="D460" s="264">
        <v>999</v>
      </c>
      <c r="E460" s="69"/>
      <c r="F460" s="44"/>
      <c r="G460" s="39" t="s">
        <v>31</v>
      </c>
      <c r="H460" s="20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6">
        <f t="shared" si="116"/>
        <v>0</v>
      </c>
      <c r="V460" s="20">
        <f t="shared" si="115"/>
        <v>0</v>
      </c>
      <c r="W460" s="35"/>
      <c r="X460" s="65" t="e">
        <f t="shared" si="114"/>
        <v>#DIV/0!</v>
      </c>
    </row>
    <row r="461" spans="1:24" ht="12.75">
      <c r="A461" s="16"/>
      <c r="B461" s="283"/>
      <c r="C461" s="69"/>
      <c r="D461" s="267"/>
      <c r="E461" s="69"/>
      <c r="F461" s="44"/>
      <c r="G461" s="39"/>
      <c r="H461" s="19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6"/>
      <c r="V461" s="19">
        <f t="shared" si="115"/>
        <v>0</v>
      </c>
      <c r="W461" s="37"/>
      <c r="X461" s="65"/>
    </row>
    <row r="462" spans="1:24" ht="12.75">
      <c r="A462" s="16"/>
      <c r="B462" s="273" t="s">
        <v>396</v>
      </c>
      <c r="C462" s="284"/>
      <c r="D462" s="285"/>
      <c r="E462" s="284"/>
      <c r="F462" s="286"/>
      <c r="G462" s="275" t="s">
        <v>397</v>
      </c>
      <c r="H462" s="280">
        <f aca="true" t="shared" si="117" ref="H462:T462">SUM(H463)</f>
        <v>75615000</v>
      </c>
      <c r="I462" s="281">
        <f t="shared" si="117"/>
        <v>415137</v>
      </c>
      <c r="J462" s="281">
        <f t="shared" si="117"/>
        <v>338763</v>
      </c>
      <c r="K462" s="281">
        <f t="shared" si="117"/>
        <v>342300</v>
      </c>
      <c r="L462" s="281">
        <f t="shared" si="117"/>
        <v>45920069</v>
      </c>
      <c r="M462" s="281">
        <f t="shared" si="117"/>
        <v>322105</v>
      </c>
      <c r="N462" s="281">
        <f t="shared" si="117"/>
        <v>5380784</v>
      </c>
      <c r="O462" s="281">
        <f t="shared" si="117"/>
        <v>19955642</v>
      </c>
      <c r="P462" s="281">
        <f t="shared" si="117"/>
        <v>426090</v>
      </c>
      <c r="Q462" s="281">
        <f t="shared" si="117"/>
        <v>323100</v>
      </c>
      <c r="R462" s="281">
        <f t="shared" si="117"/>
        <v>0</v>
      </c>
      <c r="S462" s="281">
        <f t="shared" si="117"/>
        <v>0</v>
      </c>
      <c r="T462" s="281">
        <f t="shared" si="117"/>
        <v>0</v>
      </c>
      <c r="U462" s="282">
        <f>+Gastos!U317</f>
        <v>73423990</v>
      </c>
      <c r="V462" s="280">
        <f t="shared" si="115"/>
        <v>2191010</v>
      </c>
      <c r="W462" s="281">
        <f>SUM(W463)</f>
        <v>0</v>
      </c>
      <c r="X462" s="188">
        <f>+Gastos!X317</f>
        <v>97.10241354228658</v>
      </c>
    </row>
    <row r="463" spans="1:24" ht="12.75">
      <c r="A463" s="16"/>
      <c r="B463" s="263">
        <v>23</v>
      </c>
      <c r="C463" s="29" t="s">
        <v>12</v>
      </c>
      <c r="D463" s="267"/>
      <c r="E463" s="69"/>
      <c r="F463" s="44"/>
      <c r="G463" s="39" t="s">
        <v>398</v>
      </c>
      <c r="H463" s="19">
        <f>+Gastos!H318</f>
        <v>75615000</v>
      </c>
      <c r="I463" s="37">
        <f>+Gastos!I318</f>
        <v>415137</v>
      </c>
      <c r="J463" s="37">
        <f>+Gastos!J318</f>
        <v>338763</v>
      </c>
      <c r="K463" s="37">
        <f>+Gastos!K318</f>
        <v>342300</v>
      </c>
      <c r="L463" s="37">
        <f>+Gastos!L318</f>
        <v>45920069</v>
      </c>
      <c r="M463" s="37">
        <f>+Gastos!M318</f>
        <v>322105</v>
      </c>
      <c r="N463" s="37">
        <f>+Gastos!N318</f>
        <v>5380784</v>
      </c>
      <c r="O463" s="37">
        <f>+Gastos!O318</f>
        <v>19955642</v>
      </c>
      <c r="P463" s="37">
        <f>+Gastos!P318</f>
        <v>426090</v>
      </c>
      <c r="Q463" s="37">
        <f>+Gastos!Q318</f>
        <v>323100</v>
      </c>
      <c r="R463" s="37">
        <f>+Gastos!R318</f>
        <v>0</v>
      </c>
      <c r="S463" s="37">
        <f>+Gastos!S318</f>
        <v>0</v>
      </c>
      <c r="T463" s="37">
        <f>+Gastos!T318</f>
        <v>0</v>
      </c>
      <c r="U463" s="38">
        <f>+Gastos!U318</f>
        <v>73423990</v>
      </c>
      <c r="V463" s="19">
        <f t="shared" si="115"/>
        <v>2191010</v>
      </c>
      <c r="W463" s="37">
        <f>+Gastos!W318</f>
        <v>0</v>
      </c>
      <c r="X463" s="65">
        <f>+Gastos!X318</f>
        <v>97.10241354228658</v>
      </c>
    </row>
    <row r="464" spans="1:24" ht="12.75" customHeight="1" hidden="1">
      <c r="A464" s="16"/>
      <c r="B464" s="263">
        <v>23</v>
      </c>
      <c r="C464" s="29" t="s">
        <v>12</v>
      </c>
      <c r="D464" s="22" t="s">
        <v>28</v>
      </c>
      <c r="E464" s="69"/>
      <c r="F464" s="44"/>
      <c r="G464" s="39" t="s">
        <v>399</v>
      </c>
      <c r="H464" s="20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6">
        <f>SUM(I464:T464)</f>
        <v>0</v>
      </c>
      <c r="V464" s="20">
        <f t="shared" si="115"/>
        <v>0</v>
      </c>
      <c r="W464" s="35"/>
      <c r="X464" s="65" t="e">
        <f t="shared" si="114"/>
        <v>#DIV/0!</v>
      </c>
    </row>
    <row r="465" spans="1:24" ht="12.75">
      <c r="A465" s="16"/>
      <c r="B465" s="283"/>
      <c r="C465" s="287"/>
      <c r="D465" s="22"/>
      <c r="E465" s="69"/>
      <c r="F465" s="44"/>
      <c r="G465" s="39"/>
      <c r="H465" s="19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6"/>
      <c r="V465" s="19"/>
      <c r="W465" s="37"/>
      <c r="X465" s="65"/>
    </row>
    <row r="466" spans="1:24" ht="12.75">
      <c r="A466" s="16"/>
      <c r="B466" s="288">
        <v>24</v>
      </c>
      <c r="C466" s="284"/>
      <c r="D466" s="171"/>
      <c r="E466" s="284"/>
      <c r="F466" s="286"/>
      <c r="G466" s="275" t="s">
        <v>43</v>
      </c>
      <c r="H466" s="280">
        <f>SUM(H467+H477+H500+H501+H502+H503)</f>
        <v>15832448000</v>
      </c>
      <c r="I466" s="281">
        <f aca="true" t="shared" si="118" ref="I466:T466">SUM(I467+I477+I500+I501+I502+I503)</f>
        <v>667205522</v>
      </c>
      <c r="J466" s="281">
        <f t="shared" si="118"/>
        <v>360682214</v>
      </c>
      <c r="K466" s="281">
        <f t="shared" si="118"/>
        <v>58579121</v>
      </c>
      <c r="L466" s="281">
        <f t="shared" si="118"/>
        <v>2471395346</v>
      </c>
      <c r="M466" s="281">
        <f t="shared" si="118"/>
        <v>890312299</v>
      </c>
      <c r="N466" s="281">
        <f t="shared" si="118"/>
        <v>130509420</v>
      </c>
      <c r="O466" s="281">
        <f t="shared" si="118"/>
        <v>7716988634</v>
      </c>
      <c r="P466" s="281">
        <f t="shared" si="118"/>
        <v>1186938916</v>
      </c>
      <c r="Q466" s="281">
        <f t="shared" si="118"/>
        <v>1772468584</v>
      </c>
      <c r="R466" s="281">
        <f t="shared" si="118"/>
        <v>0</v>
      </c>
      <c r="S466" s="281">
        <f t="shared" si="118"/>
        <v>0</v>
      </c>
      <c r="T466" s="281">
        <f t="shared" si="118"/>
        <v>0</v>
      </c>
      <c r="U466" s="282">
        <f>+Gastos!U323</f>
        <v>15255080056</v>
      </c>
      <c r="V466" s="280">
        <f t="shared" si="115"/>
        <v>577367944</v>
      </c>
      <c r="W466" s="281">
        <f>SUM(W467+W477+W500+W501+W502+W503)</f>
        <v>301288364</v>
      </c>
      <c r="X466" s="188">
        <f>+Gastos!X323</f>
        <v>96.35326170659143</v>
      </c>
    </row>
    <row r="467" spans="1:24" ht="12.75">
      <c r="A467" s="16"/>
      <c r="B467" s="263">
        <v>24</v>
      </c>
      <c r="C467" s="29" t="s">
        <v>12</v>
      </c>
      <c r="D467" s="267"/>
      <c r="E467" s="69"/>
      <c r="F467" s="44"/>
      <c r="G467" s="39" t="s">
        <v>400</v>
      </c>
      <c r="H467" s="19">
        <f>+Gastos!H324</f>
        <v>11731828000</v>
      </c>
      <c r="I467" s="37">
        <f>+Gastos!I324</f>
        <v>619937176</v>
      </c>
      <c r="J467" s="37">
        <f>+Gastos!J324</f>
        <v>140559886</v>
      </c>
      <c r="K467" s="37">
        <f>+Gastos!K324</f>
        <v>58579121</v>
      </c>
      <c r="L467" s="37">
        <f>+Gastos!L324</f>
        <v>196870477</v>
      </c>
      <c r="M467" s="37">
        <f>+Gastos!M324</f>
        <v>326041100</v>
      </c>
      <c r="N467" s="37">
        <f>+Gastos!N324</f>
        <v>103273106</v>
      </c>
      <c r="O467" s="37">
        <f>+Gastos!O324</f>
        <v>7419174358</v>
      </c>
      <c r="P467" s="37">
        <f>+Gastos!P324</f>
        <v>1178023541</v>
      </c>
      <c r="Q467" s="37">
        <f>+Gastos!Q324</f>
        <v>1124229646</v>
      </c>
      <c r="R467" s="37">
        <f>+Gastos!R324</f>
        <v>0</v>
      </c>
      <c r="S467" s="37">
        <f>+Gastos!S324</f>
        <v>0</v>
      </c>
      <c r="T467" s="37">
        <f>+Gastos!T324</f>
        <v>0</v>
      </c>
      <c r="U467" s="38">
        <f>+Gastos!U324</f>
        <v>11166688411</v>
      </c>
      <c r="V467" s="19">
        <f t="shared" si="115"/>
        <v>565139589</v>
      </c>
      <c r="W467" s="37">
        <f>+Gastos!W324</f>
        <v>50000</v>
      </c>
      <c r="X467" s="65">
        <f>+Gastos!X324</f>
        <v>95.18285139366176</v>
      </c>
    </row>
    <row r="468" spans="1:24" ht="12.75" customHeight="1" hidden="1">
      <c r="A468" s="16"/>
      <c r="B468" s="28" t="s">
        <v>401</v>
      </c>
      <c r="C468" s="29" t="s">
        <v>12</v>
      </c>
      <c r="D468" s="22" t="s">
        <v>14</v>
      </c>
      <c r="E468" s="29"/>
      <c r="F468" s="21"/>
      <c r="G468" s="39" t="s">
        <v>402</v>
      </c>
      <c r="H468" s="20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6">
        <f aca="true" t="shared" si="119" ref="U468:U502">SUM(I468:T468)</f>
        <v>0</v>
      </c>
      <c r="V468" s="20">
        <f t="shared" si="115"/>
        <v>0</v>
      </c>
      <c r="W468" s="35"/>
      <c r="X468" s="65" t="e">
        <f t="shared" si="114"/>
        <v>#DIV/0!</v>
      </c>
    </row>
    <row r="469" spans="1:24" ht="12.75" customHeight="1" hidden="1">
      <c r="A469" s="16"/>
      <c r="B469" s="28" t="s">
        <v>401</v>
      </c>
      <c r="C469" s="29" t="s">
        <v>12</v>
      </c>
      <c r="D469" s="22" t="s">
        <v>17</v>
      </c>
      <c r="E469" s="29"/>
      <c r="F469" s="21"/>
      <c r="G469" s="39" t="s">
        <v>403</v>
      </c>
      <c r="H469" s="20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6">
        <f t="shared" si="119"/>
        <v>0</v>
      </c>
      <c r="V469" s="20">
        <f t="shared" si="115"/>
        <v>0</v>
      </c>
      <c r="W469" s="35"/>
      <c r="X469" s="65" t="e">
        <f t="shared" si="114"/>
        <v>#DIV/0!</v>
      </c>
    </row>
    <row r="470" spans="1:24" ht="12.75" customHeight="1" hidden="1">
      <c r="A470" s="16"/>
      <c r="B470" s="28" t="s">
        <v>401</v>
      </c>
      <c r="C470" s="29" t="s">
        <v>12</v>
      </c>
      <c r="D470" s="22" t="s">
        <v>22</v>
      </c>
      <c r="E470" s="29"/>
      <c r="F470" s="21"/>
      <c r="G470" s="39" t="s">
        <v>404</v>
      </c>
      <c r="H470" s="20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6">
        <f t="shared" si="119"/>
        <v>0</v>
      </c>
      <c r="V470" s="20">
        <f t="shared" si="115"/>
        <v>0</v>
      </c>
      <c r="W470" s="35"/>
      <c r="X470" s="65" t="e">
        <f t="shared" si="114"/>
        <v>#DIV/0!</v>
      </c>
    </row>
    <row r="471" spans="1:24" ht="12.75" customHeight="1" hidden="1">
      <c r="A471" s="16"/>
      <c r="B471" s="28" t="s">
        <v>401</v>
      </c>
      <c r="C471" s="29" t="s">
        <v>12</v>
      </c>
      <c r="D471" s="22" t="s">
        <v>28</v>
      </c>
      <c r="E471" s="29"/>
      <c r="F471" s="21"/>
      <c r="G471" s="39" t="s">
        <v>405</v>
      </c>
      <c r="H471" s="20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6">
        <f t="shared" si="119"/>
        <v>0</v>
      </c>
      <c r="V471" s="20">
        <f t="shared" si="115"/>
        <v>0</v>
      </c>
      <c r="W471" s="35"/>
      <c r="X471" s="65" t="e">
        <f t="shared" si="114"/>
        <v>#DIV/0!</v>
      </c>
    </row>
    <row r="472" spans="1:24" ht="12.75" customHeight="1" hidden="1">
      <c r="A472" s="16"/>
      <c r="B472" s="28" t="s">
        <v>401</v>
      </c>
      <c r="C472" s="29" t="s">
        <v>12</v>
      </c>
      <c r="D472" s="22" t="s">
        <v>54</v>
      </c>
      <c r="E472" s="29"/>
      <c r="F472" s="21"/>
      <c r="G472" s="39" t="s">
        <v>406</v>
      </c>
      <c r="H472" s="20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6">
        <f t="shared" si="119"/>
        <v>0</v>
      </c>
      <c r="V472" s="20">
        <f t="shared" si="115"/>
        <v>0</v>
      </c>
      <c r="W472" s="35"/>
      <c r="X472" s="65" t="e">
        <f t="shared" si="114"/>
        <v>#DIV/0!</v>
      </c>
    </row>
    <row r="473" spans="1:24" ht="12.75" customHeight="1" hidden="1">
      <c r="A473" s="16"/>
      <c r="B473" s="28" t="s">
        <v>401</v>
      </c>
      <c r="C473" s="29" t="s">
        <v>12</v>
      </c>
      <c r="D473" s="22" t="s">
        <v>57</v>
      </c>
      <c r="E473" s="29"/>
      <c r="F473" s="21"/>
      <c r="G473" s="39" t="s">
        <v>407</v>
      </c>
      <c r="H473" s="20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6">
        <f t="shared" si="119"/>
        <v>0</v>
      </c>
      <c r="V473" s="20">
        <f t="shared" si="115"/>
        <v>0</v>
      </c>
      <c r="W473" s="35"/>
      <c r="X473" s="65" t="e">
        <f t="shared" si="114"/>
        <v>#DIV/0!</v>
      </c>
    </row>
    <row r="474" spans="1:24" ht="12.75" customHeight="1" hidden="1">
      <c r="A474" s="16"/>
      <c r="B474" s="28" t="s">
        <v>401</v>
      </c>
      <c r="C474" s="29" t="s">
        <v>12</v>
      </c>
      <c r="D474" s="22" t="s">
        <v>61</v>
      </c>
      <c r="E474" s="29"/>
      <c r="F474" s="21"/>
      <c r="G474" s="39" t="s">
        <v>408</v>
      </c>
      <c r="H474" s="20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6">
        <f t="shared" si="119"/>
        <v>0</v>
      </c>
      <c r="V474" s="20">
        <f t="shared" si="115"/>
        <v>0</v>
      </c>
      <c r="W474" s="35"/>
      <c r="X474" s="65" t="e">
        <f t="shared" si="114"/>
        <v>#DIV/0!</v>
      </c>
    </row>
    <row r="475" spans="1:24" ht="12.75" customHeight="1" hidden="1">
      <c r="A475" s="16"/>
      <c r="B475" s="28" t="s">
        <v>401</v>
      </c>
      <c r="C475" s="29" t="s">
        <v>12</v>
      </c>
      <c r="D475" s="22" t="s">
        <v>65</v>
      </c>
      <c r="E475" s="29"/>
      <c r="F475" s="21"/>
      <c r="G475" s="39" t="s">
        <v>409</v>
      </c>
      <c r="H475" s="20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6">
        <f t="shared" si="119"/>
        <v>0</v>
      </c>
      <c r="V475" s="20">
        <f t="shared" si="115"/>
        <v>0</v>
      </c>
      <c r="W475" s="35"/>
      <c r="X475" s="65" t="e">
        <f aca="true" t="shared" si="120" ref="X475:X536">SUM(V475/I475)*100</f>
        <v>#DIV/0!</v>
      </c>
    </row>
    <row r="476" spans="1:24" ht="12.75" customHeight="1" hidden="1">
      <c r="A476" s="16"/>
      <c r="B476" s="28" t="s">
        <v>401</v>
      </c>
      <c r="C476" s="29" t="s">
        <v>12</v>
      </c>
      <c r="D476" s="22" t="s">
        <v>30</v>
      </c>
      <c r="E476" s="69"/>
      <c r="F476" s="44"/>
      <c r="G476" s="39" t="s">
        <v>410</v>
      </c>
      <c r="H476" s="20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6">
        <f t="shared" si="119"/>
        <v>0</v>
      </c>
      <c r="V476" s="20">
        <f t="shared" si="115"/>
        <v>0</v>
      </c>
      <c r="W476" s="35"/>
      <c r="X476" s="65" t="e">
        <f t="shared" si="120"/>
        <v>#DIV/0!</v>
      </c>
    </row>
    <row r="477" spans="1:24" ht="12.75">
      <c r="A477" s="16"/>
      <c r="B477" s="263">
        <v>24</v>
      </c>
      <c r="C477" s="29" t="s">
        <v>10</v>
      </c>
      <c r="D477" s="267"/>
      <c r="E477" s="69"/>
      <c r="F477" s="44"/>
      <c r="G477" s="39" t="s">
        <v>411</v>
      </c>
      <c r="H477" s="19">
        <f>+Gastos!H335</f>
        <v>4100620000</v>
      </c>
      <c r="I477" s="37">
        <f>+Gastos!I335</f>
        <v>47268346</v>
      </c>
      <c r="J477" s="37">
        <f>+Gastos!J335</f>
        <v>220122328</v>
      </c>
      <c r="K477" s="37">
        <f>+Gastos!K335</f>
        <v>0</v>
      </c>
      <c r="L477" s="37">
        <f>+Gastos!L335</f>
        <v>2274524869</v>
      </c>
      <c r="M477" s="37">
        <f>+Gastos!M335</f>
        <v>564271199</v>
      </c>
      <c r="N477" s="37">
        <f>+Gastos!N335</f>
        <v>27236314</v>
      </c>
      <c r="O477" s="37">
        <f>+Gastos!O335</f>
        <v>297814276</v>
      </c>
      <c r="P477" s="37">
        <f>+Gastos!P335</f>
        <v>8915375</v>
      </c>
      <c r="Q477" s="37">
        <f>+Gastos!Q335</f>
        <v>648238938</v>
      </c>
      <c r="R477" s="37">
        <f>+Gastos!R335</f>
        <v>0</v>
      </c>
      <c r="S477" s="37">
        <f>+Gastos!S335</f>
        <v>0</v>
      </c>
      <c r="T477" s="37">
        <f>+Gastos!T335</f>
        <v>0</v>
      </c>
      <c r="U477" s="38">
        <f>+Gastos!U335</f>
        <v>4088391645</v>
      </c>
      <c r="V477" s="19">
        <f t="shared" si="115"/>
        <v>12228355</v>
      </c>
      <c r="W477" s="37">
        <f>+Gastos!W335</f>
        <v>301238364</v>
      </c>
      <c r="X477" s="65">
        <f>+Gastos!X335</f>
        <v>99.70179253381197</v>
      </c>
    </row>
    <row r="478" spans="1:24" ht="12.75" customHeight="1" hidden="1">
      <c r="A478" s="16"/>
      <c r="B478" s="28" t="s">
        <v>401</v>
      </c>
      <c r="C478" s="29" t="s">
        <v>10</v>
      </c>
      <c r="D478" s="22" t="s">
        <v>14</v>
      </c>
      <c r="E478" s="70"/>
      <c r="F478" s="44"/>
      <c r="G478" s="39" t="s">
        <v>412</v>
      </c>
      <c r="H478" s="20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6">
        <f t="shared" si="119"/>
        <v>0</v>
      </c>
      <c r="V478" s="20">
        <f aca="true" t="shared" si="121" ref="V478:V541">H478-U478</f>
        <v>0</v>
      </c>
      <c r="W478" s="35"/>
      <c r="X478" s="65" t="e">
        <f t="shared" si="120"/>
        <v>#DIV/0!</v>
      </c>
    </row>
    <row r="479" spans="1:24" ht="12.75" customHeight="1" hidden="1">
      <c r="A479" s="16"/>
      <c r="B479" s="28" t="s">
        <v>401</v>
      </c>
      <c r="C479" s="29" t="s">
        <v>10</v>
      </c>
      <c r="D479" s="22" t="s">
        <v>17</v>
      </c>
      <c r="E479" s="29"/>
      <c r="F479" s="44"/>
      <c r="G479" s="39" t="s">
        <v>413</v>
      </c>
      <c r="H479" s="19">
        <f aca="true" t="shared" si="122" ref="H479:W479">SUM(H480)</f>
        <v>0</v>
      </c>
      <c r="I479" s="37">
        <f t="shared" si="122"/>
        <v>0</v>
      </c>
      <c r="J479" s="37">
        <f t="shared" si="122"/>
        <v>0</v>
      </c>
      <c r="K479" s="37">
        <f t="shared" si="122"/>
        <v>0</v>
      </c>
      <c r="L479" s="37">
        <f t="shared" si="122"/>
        <v>0</v>
      </c>
      <c r="M479" s="37">
        <f t="shared" si="122"/>
        <v>0</v>
      </c>
      <c r="N479" s="37">
        <f t="shared" si="122"/>
        <v>0</v>
      </c>
      <c r="O479" s="37">
        <f t="shared" si="122"/>
        <v>0</v>
      </c>
      <c r="P479" s="37">
        <f t="shared" si="122"/>
        <v>0</v>
      </c>
      <c r="Q479" s="37">
        <f t="shared" si="122"/>
        <v>0</v>
      </c>
      <c r="R479" s="37">
        <f t="shared" si="122"/>
        <v>0</v>
      </c>
      <c r="S479" s="37">
        <f t="shared" si="122"/>
        <v>0</v>
      </c>
      <c r="T479" s="37">
        <f t="shared" si="122"/>
        <v>0</v>
      </c>
      <c r="U479" s="38">
        <f t="shared" si="122"/>
        <v>0</v>
      </c>
      <c r="V479" s="19">
        <f t="shared" si="121"/>
        <v>0</v>
      </c>
      <c r="W479" s="37">
        <f t="shared" si="122"/>
        <v>0</v>
      </c>
      <c r="X479" s="65" t="e">
        <f t="shared" si="120"/>
        <v>#DIV/0!</v>
      </c>
    </row>
    <row r="480" spans="1:24" ht="12.75" customHeight="1" hidden="1">
      <c r="A480" s="16"/>
      <c r="B480" s="28"/>
      <c r="C480" s="29"/>
      <c r="D480" s="22"/>
      <c r="E480" s="29" t="s">
        <v>14</v>
      </c>
      <c r="F480" s="44"/>
      <c r="G480" s="39" t="s">
        <v>414</v>
      </c>
      <c r="H480" s="20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6">
        <f t="shared" si="119"/>
        <v>0</v>
      </c>
      <c r="V480" s="20">
        <f t="shared" si="121"/>
        <v>0</v>
      </c>
      <c r="W480" s="35"/>
      <c r="X480" s="65" t="e">
        <f t="shared" si="120"/>
        <v>#DIV/0!</v>
      </c>
    </row>
    <row r="481" spans="1:24" ht="12.75" customHeight="1" hidden="1">
      <c r="A481" s="16"/>
      <c r="B481" s="28" t="s">
        <v>401</v>
      </c>
      <c r="C481" s="29" t="s">
        <v>10</v>
      </c>
      <c r="D481" s="22" t="s">
        <v>415</v>
      </c>
      <c r="E481" s="29"/>
      <c r="F481" s="44"/>
      <c r="G481" s="39" t="s">
        <v>416</v>
      </c>
      <c r="H481" s="19">
        <f>SUM(H482:H483)</f>
        <v>0</v>
      </c>
      <c r="I481" s="37">
        <f aca="true" t="shared" si="123" ref="I481:U481">SUM(I482:I483)</f>
        <v>0</v>
      </c>
      <c r="J481" s="37">
        <f t="shared" si="123"/>
        <v>0</v>
      </c>
      <c r="K481" s="37">
        <f t="shared" si="123"/>
        <v>0</v>
      </c>
      <c r="L481" s="37">
        <f t="shared" si="123"/>
        <v>0</v>
      </c>
      <c r="M481" s="37">
        <f t="shared" si="123"/>
        <v>0</v>
      </c>
      <c r="N481" s="37">
        <f t="shared" si="123"/>
        <v>0</v>
      </c>
      <c r="O481" s="37">
        <f t="shared" si="123"/>
        <v>0</v>
      </c>
      <c r="P481" s="37">
        <f t="shared" si="123"/>
        <v>0</v>
      </c>
      <c r="Q481" s="37">
        <f t="shared" si="123"/>
        <v>0</v>
      </c>
      <c r="R481" s="37">
        <f t="shared" si="123"/>
        <v>0</v>
      </c>
      <c r="S481" s="37">
        <f t="shared" si="123"/>
        <v>0</v>
      </c>
      <c r="T481" s="37">
        <f t="shared" si="123"/>
        <v>0</v>
      </c>
      <c r="U481" s="38">
        <f t="shared" si="123"/>
        <v>0</v>
      </c>
      <c r="V481" s="19">
        <f t="shared" si="121"/>
        <v>0</v>
      </c>
      <c r="W481" s="37">
        <f>SUM(W482:W483)</f>
        <v>0</v>
      </c>
      <c r="X481" s="65" t="e">
        <f t="shared" si="120"/>
        <v>#DIV/0!</v>
      </c>
    </row>
    <row r="482" spans="1:24" ht="12.75" customHeight="1" hidden="1">
      <c r="A482" s="16"/>
      <c r="B482" s="28"/>
      <c r="C482" s="29"/>
      <c r="D482" s="22"/>
      <c r="E482" s="29" t="s">
        <v>14</v>
      </c>
      <c r="F482" s="44"/>
      <c r="G482" s="39" t="s">
        <v>417</v>
      </c>
      <c r="H482" s="20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6">
        <f t="shared" si="119"/>
        <v>0</v>
      </c>
      <c r="V482" s="20">
        <f t="shared" si="121"/>
        <v>0</v>
      </c>
      <c r="W482" s="35"/>
      <c r="X482" s="65" t="e">
        <f t="shared" si="120"/>
        <v>#DIV/0!</v>
      </c>
    </row>
    <row r="483" spans="1:24" ht="12.75" customHeight="1" hidden="1">
      <c r="A483" s="16"/>
      <c r="B483" s="28"/>
      <c r="C483" s="29"/>
      <c r="D483" s="22"/>
      <c r="E483" s="29" t="s">
        <v>17</v>
      </c>
      <c r="F483" s="44"/>
      <c r="G483" s="39" t="s">
        <v>418</v>
      </c>
      <c r="H483" s="20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6">
        <f t="shared" si="119"/>
        <v>0</v>
      </c>
      <c r="V483" s="20">
        <f t="shared" si="121"/>
        <v>0</v>
      </c>
      <c r="W483" s="35"/>
      <c r="X483" s="65" t="e">
        <f t="shared" si="120"/>
        <v>#DIV/0!</v>
      </c>
    </row>
    <row r="484" spans="1:24" ht="12.75" customHeight="1" hidden="1">
      <c r="A484" s="16"/>
      <c r="B484" s="28" t="s">
        <v>401</v>
      </c>
      <c r="C484" s="29" t="s">
        <v>10</v>
      </c>
      <c r="D484" s="22" t="s">
        <v>419</v>
      </c>
      <c r="E484" s="29"/>
      <c r="F484" s="44"/>
      <c r="G484" s="39" t="s">
        <v>420</v>
      </c>
      <c r="H484" s="19">
        <f>SUM(H485:H487)</f>
        <v>0</v>
      </c>
      <c r="I484" s="37">
        <f aca="true" t="shared" si="124" ref="I484:U484">SUM(I485:I487)</f>
        <v>0</v>
      </c>
      <c r="J484" s="37">
        <f t="shared" si="124"/>
        <v>0</v>
      </c>
      <c r="K484" s="37">
        <f t="shared" si="124"/>
        <v>0</v>
      </c>
      <c r="L484" s="37">
        <f t="shared" si="124"/>
        <v>0</v>
      </c>
      <c r="M484" s="37">
        <f t="shared" si="124"/>
        <v>0</v>
      </c>
      <c r="N484" s="37">
        <f t="shared" si="124"/>
        <v>0</v>
      </c>
      <c r="O484" s="37">
        <f t="shared" si="124"/>
        <v>0</v>
      </c>
      <c r="P484" s="37">
        <f t="shared" si="124"/>
        <v>0</v>
      </c>
      <c r="Q484" s="37">
        <f t="shared" si="124"/>
        <v>0</v>
      </c>
      <c r="R484" s="37">
        <f t="shared" si="124"/>
        <v>0</v>
      </c>
      <c r="S484" s="37">
        <f t="shared" si="124"/>
        <v>0</v>
      </c>
      <c r="T484" s="37">
        <f t="shared" si="124"/>
        <v>0</v>
      </c>
      <c r="U484" s="38">
        <f t="shared" si="124"/>
        <v>0</v>
      </c>
      <c r="V484" s="19">
        <f t="shared" si="121"/>
        <v>0</v>
      </c>
      <c r="W484" s="37">
        <f>SUM(W485:W487)</f>
        <v>0</v>
      </c>
      <c r="X484" s="65" t="e">
        <f t="shared" si="120"/>
        <v>#DIV/0!</v>
      </c>
    </row>
    <row r="485" spans="1:24" ht="12.75" customHeight="1" hidden="1">
      <c r="A485" s="16"/>
      <c r="B485" s="28"/>
      <c r="C485" s="29"/>
      <c r="D485" s="22"/>
      <c r="E485" s="29" t="s">
        <v>14</v>
      </c>
      <c r="F485" s="44"/>
      <c r="G485" s="39" t="s">
        <v>421</v>
      </c>
      <c r="H485" s="20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6">
        <f t="shared" si="119"/>
        <v>0</v>
      </c>
      <c r="V485" s="20">
        <f t="shared" si="121"/>
        <v>0</v>
      </c>
      <c r="W485" s="35"/>
      <c r="X485" s="65" t="e">
        <f t="shared" si="120"/>
        <v>#DIV/0!</v>
      </c>
    </row>
    <row r="486" spans="1:24" ht="12.75" customHeight="1" hidden="1">
      <c r="A486" s="16"/>
      <c r="B486" s="28"/>
      <c r="C486" s="29"/>
      <c r="D486" s="22"/>
      <c r="E486" s="29" t="s">
        <v>17</v>
      </c>
      <c r="F486" s="44"/>
      <c r="G486" s="39" t="s">
        <v>422</v>
      </c>
      <c r="H486" s="20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6">
        <f t="shared" si="119"/>
        <v>0</v>
      </c>
      <c r="V486" s="20">
        <f t="shared" si="121"/>
        <v>0</v>
      </c>
      <c r="W486" s="35"/>
      <c r="X486" s="65" t="e">
        <f t="shared" si="120"/>
        <v>#DIV/0!</v>
      </c>
    </row>
    <row r="487" spans="1:24" ht="12.75" customHeight="1" hidden="1">
      <c r="A487" s="16"/>
      <c r="B487" s="28"/>
      <c r="C487" s="29"/>
      <c r="D487" s="22"/>
      <c r="E487" s="29" t="s">
        <v>22</v>
      </c>
      <c r="F487" s="44"/>
      <c r="G487" s="39" t="s">
        <v>423</v>
      </c>
      <c r="H487" s="20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6">
        <f t="shared" si="119"/>
        <v>0</v>
      </c>
      <c r="V487" s="20">
        <f t="shared" si="121"/>
        <v>0</v>
      </c>
      <c r="W487" s="35"/>
      <c r="X487" s="65" t="e">
        <f t="shared" si="120"/>
        <v>#DIV/0!</v>
      </c>
    </row>
    <row r="488" spans="1:24" ht="12.75" customHeight="1" hidden="1">
      <c r="A488" s="16"/>
      <c r="B488" s="28" t="s">
        <v>401</v>
      </c>
      <c r="C488" s="29" t="s">
        <v>10</v>
      </c>
      <c r="D488" s="22" t="s">
        <v>424</v>
      </c>
      <c r="E488" s="29"/>
      <c r="F488" s="44"/>
      <c r="G488" s="39" t="s">
        <v>425</v>
      </c>
      <c r="H488" s="19">
        <f>SUM(H489:H491)</f>
        <v>0</v>
      </c>
      <c r="I488" s="37">
        <f aca="true" t="shared" si="125" ref="I488:U488">SUM(I489:I491)</f>
        <v>0</v>
      </c>
      <c r="J488" s="37">
        <f t="shared" si="125"/>
        <v>0</v>
      </c>
      <c r="K488" s="37">
        <f t="shared" si="125"/>
        <v>0</v>
      </c>
      <c r="L488" s="37">
        <f t="shared" si="125"/>
        <v>0</v>
      </c>
      <c r="M488" s="37">
        <f t="shared" si="125"/>
        <v>0</v>
      </c>
      <c r="N488" s="37">
        <f t="shared" si="125"/>
        <v>0</v>
      </c>
      <c r="O488" s="37">
        <f t="shared" si="125"/>
        <v>0</v>
      </c>
      <c r="P488" s="37">
        <f t="shared" si="125"/>
        <v>0</v>
      </c>
      <c r="Q488" s="37">
        <f t="shared" si="125"/>
        <v>0</v>
      </c>
      <c r="R488" s="37">
        <f t="shared" si="125"/>
        <v>0</v>
      </c>
      <c r="S488" s="37">
        <f t="shared" si="125"/>
        <v>0</v>
      </c>
      <c r="T488" s="37">
        <f t="shared" si="125"/>
        <v>0</v>
      </c>
      <c r="U488" s="38">
        <f t="shared" si="125"/>
        <v>0</v>
      </c>
      <c r="V488" s="19">
        <f t="shared" si="121"/>
        <v>0</v>
      </c>
      <c r="W488" s="37">
        <f>SUM(W489:W491)</f>
        <v>0</v>
      </c>
      <c r="X488" s="65" t="e">
        <f t="shared" si="120"/>
        <v>#DIV/0!</v>
      </c>
    </row>
    <row r="489" spans="1:24" ht="12.75" customHeight="1" hidden="1">
      <c r="A489" s="16"/>
      <c r="B489" s="28"/>
      <c r="C489" s="29"/>
      <c r="D489" s="22"/>
      <c r="E489" s="29" t="s">
        <v>14</v>
      </c>
      <c r="F489" s="44"/>
      <c r="G489" s="39" t="s">
        <v>421</v>
      </c>
      <c r="H489" s="20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6">
        <f t="shared" si="119"/>
        <v>0</v>
      </c>
      <c r="V489" s="20">
        <f t="shared" si="121"/>
        <v>0</v>
      </c>
      <c r="W489" s="35"/>
      <c r="X489" s="65" t="e">
        <f t="shared" si="120"/>
        <v>#DIV/0!</v>
      </c>
    </row>
    <row r="490" spans="1:24" ht="12.75" customHeight="1" hidden="1">
      <c r="A490" s="16"/>
      <c r="B490" s="28"/>
      <c r="C490" s="29"/>
      <c r="D490" s="22"/>
      <c r="E490" s="29" t="s">
        <v>17</v>
      </c>
      <c r="F490" s="44"/>
      <c r="G490" s="39" t="s">
        <v>422</v>
      </c>
      <c r="H490" s="20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6">
        <f t="shared" si="119"/>
        <v>0</v>
      </c>
      <c r="V490" s="20">
        <f t="shared" si="121"/>
        <v>0</v>
      </c>
      <c r="W490" s="35"/>
      <c r="X490" s="65" t="e">
        <f t="shared" si="120"/>
        <v>#DIV/0!</v>
      </c>
    </row>
    <row r="491" spans="1:24" ht="12.75" customHeight="1" hidden="1">
      <c r="A491" s="16"/>
      <c r="B491" s="28"/>
      <c r="C491" s="29"/>
      <c r="D491" s="22"/>
      <c r="E491" s="29" t="s">
        <v>22</v>
      </c>
      <c r="F491" s="44"/>
      <c r="G491" s="39" t="s">
        <v>423</v>
      </c>
      <c r="H491" s="20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6">
        <f t="shared" si="119"/>
        <v>0</v>
      </c>
      <c r="V491" s="20">
        <f t="shared" si="121"/>
        <v>0</v>
      </c>
      <c r="W491" s="35"/>
      <c r="X491" s="65" t="e">
        <f t="shared" si="120"/>
        <v>#DIV/0!</v>
      </c>
    </row>
    <row r="492" spans="1:24" ht="12.75" customHeight="1" hidden="1">
      <c r="A492" s="16"/>
      <c r="B492" s="28" t="s">
        <v>401</v>
      </c>
      <c r="C492" s="29" t="s">
        <v>10</v>
      </c>
      <c r="D492" s="22" t="s">
        <v>426</v>
      </c>
      <c r="E492" s="29"/>
      <c r="F492" s="44"/>
      <c r="G492" s="39" t="s">
        <v>427</v>
      </c>
      <c r="H492" s="19">
        <f aca="true" t="shared" si="126" ref="H492:W492">SUM(H493)</f>
        <v>0</v>
      </c>
      <c r="I492" s="37">
        <f t="shared" si="126"/>
        <v>0</v>
      </c>
      <c r="J492" s="37">
        <f t="shared" si="126"/>
        <v>0</v>
      </c>
      <c r="K492" s="37">
        <f t="shared" si="126"/>
        <v>0</v>
      </c>
      <c r="L492" s="37">
        <f t="shared" si="126"/>
        <v>0</v>
      </c>
      <c r="M492" s="37">
        <f t="shared" si="126"/>
        <v>0</v>
      </c>
      <c r="N492" s="37">
        <f t="shared" si="126"/>
        <v>0</v>
      </c>
      <c r="O492" s="37">
        <f t="shared" si="126"/>
        <v>0</v>
      </c>
      <c r="P492" s="37">
        <f t="shared" si="126"/>
        <v>0</v>
      </c>
      <c r="Q492" s="37">
        <f t="shared" si="126"/>
        <v>0</v>
      </c>
      <c r="R492" s="37">
        <f t="shared" si="126"/>
        <v>0</v>
      </c>
      <c r="S492" s="37">
        <f t="shared" si="126"/>
        <v>0</v>
      </c>
      <c r="T492" s="37">
        <f t="shared" si="126"/>
        <v>0</v>
      </c>
      <c r="U492" s="38">
        <f t="shared" si="126"/>
        <v>0</v>
      </c>
      <c r="V492" s="19">
        <f t="shared" si="121"/>
        <v>0</v>
      </c>
      <c r="W492" s="37">
        <f t="shared" si="126"/>
        <v>0</v>
      </c>
      <c r="X492" s="65" t="e">
        <f t="shared" si="120"/>
        <v>#DIV/0!</v>
      </c>
    </row>
    <row r="493" spans="1:24" ht="12.75" customHeight="1" hidden="1">
      <c r="A493" s="16"/>
      <c r="B493" s="28"/>
      <c r="C493" s="29"/>
      <c r="D493" s="22"/>
      <c r="E493" s="29" t="s">
        <v>14</v>
      </c>
      <c r="F493" s="44"/>
      <c r="G493" s="39" t="s">
        <v>428</v>
      </c>
      <c r="H493" s="20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6">
        <f t="shared" si="119"/>
        <v>0</v>
      </c>
      <c r="V493" s="20">
        <f t="shared" si="121"/>
        <v>0</v>
      </c>
      <c r="W493" s="35"/>
      <c r="X493" s="65" t="e">
        <f t="shared" si="120"/>
        <v>#DIV/0!</v>
      </c>
    </row>
    <row r="494" spans="1:24" ht="12.75" customHeight="1" hidden="1">
      <c r="A494" s="16"/>
      <c r="B494" s="28" t="s">
        <v>401</v>
      </c>
      <c r="C494" s="29" t="s">
        <v>10</v>
      </c>
      <c r="D494" s="22" t="s">
        <v>429</v>
      </c>
      <c r="E494" s="29"/>
      <c r="F494" s="44"/>
      <c r="G494" s="39" t="s">
        <v>430</v>
      </c>
      <c r="H494" s="20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6">
        <f t="shared" si="119"/>
        <v>0</v>
      </c>
      <c r="V494" s="20">
        <f t="shared" si="121"/>
        <v>0</v>
      </c>
      <c r="W494" s="35"/>
      <c r="X494" s="65" t="e">
        <f t="shared" si="120"/>
        <v>#DIV/0!</v>
      </c>
    </row>
    <row r="495" spans="1:24" ht="12.75" customHeight="1" hidden="1">
      <c r="A495" s="16"/>
      <c r="B495" s="28" t="s">
        <v>401</v>
      </c>
      <c r="C495" s="29" t="s">
        <v>10</v>
      </c>
      <c r="D495" s="22" t="s">
        <v>69</v>
      </c>
      <c r="E495" s="29"/>
      <c r="F495" s="44"/>
      <c r="G495" s="39" t="s">
        <v>431</v>
      </c>
      <c r="H495" s="20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6">
        <f t="shared" si="119"/>
        <v>0</v>
      </c>
      <c r="V495" s="20">
        <f t="shared" si="121"/>
        <v>0</v>
      </c>
      <c r="W495" s="35"/>
      <c r="X495" s="65" t="e">
        <f t="shared" si="120"/>
        <v>#DIV/0!</v>
      </c>
    </row>
    <row r="496" spans="1:24" ht="12.75" customHeight="1" hidden="1">
      <c r="A496" s="16"/>
      <c r="B496" s="28" t="s">
        <v>401</v>
      </c>
      <c r="C496" s="29" t="s">
        <v>10</v>
      </c>
      <c r="D496" s="22" t="s">
        <v>71</v>
      </c>
      <c r="E496" s="29"/>
      <c r="F496" s="44"/>
      <c r="G496" s="39" t="s">
        <v>432</v>
      </c>
      <c r="H496" s="19">
        <f>SUM(H497:H499)</f>
        <v>0</v>
      </c>
      <c r="I496" s="37">
        <f aca="true" t="shared" si="127" ref="I496:U496">SUM(I497:I499)</f>
        <v>0</v>
      </c>
      <c r="J496" s="37">
        <f t="shared" si="127"/>
        <v>0</v>
      </c>
      <c r="K496" s="37">
        <f t="shared" si="127"/>
        <v>0</v>
      </c>
      <c r="L496" s="37">
        <f t="shared" si="127"/>
        <v>0</v>
      </c>
      <c r="M496" s="37">
        <f t="shared" si="127"/>
        <v>0</v>
      </c>
      <c r="N496" s="37">
        <f t="shared" si="127"/>
        <v>0</v>
      </c>
      <c r="O496" s="37">
        <f t="shared" si="127"/>
        <v>0</v>
      </c>
      <c r="P496" s="37">
        <f t="shared" si="127"/>
        <v>0</v>
      </c>
      <c r="Q496" s="37">
        <f t="shared" si="127"/>
        <v>0</v>
      </c>
      <c r="R496" s="37">
        <f t="shared" si="127"/>
        <v>0</v>
      </c>
      <c r="S496" s="37">
        <f t="shared" si="127"/>
        <v>0</v>
      </c>
      <c r="T496" s="37">
        <f t="shared" si="127"/>
        <v>0</v>
      </c>
      <c r="U496" s="38">
        <f t="shared" si="127"/>
        <v>0</v>
      </c>
      <c r="V496" s="19">
        <f t="shared" si="121"/>
        <v>0</v>
      </c>
      <c r="W496" s="37">
        <f>SUM(W497:W499)</f>
        <v>0</v>
      </c>
      <c r="X496" s="65" t="e">
        <f t="shared" si="120"/>
        <v>#DIV/0!</v>
      </c>
    </row>
    <row r="497" spans="1:24" ht="12.75" customHeight="1" hidden="1">
      <c r="A497" s="16"/>
      <c r="B497" s="28"/>
      <c r="C497" s="29"/>
      <c r="D497" s="22"/>
      <c r="E497" s="29" t="s">
        <v>14</v>
      </c>
      <c r="F497" s="44"/>
      <c r="G497" s="39" t="s">
        <v>433</v>
      </c>
      <c r="H497" s="20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6">
        <f t="shared" si="119"/>
        <v>0</v>
      </c>
      <c r="V497" s="20">
        <f t="shared" si="121"/>
        <v>0</v>
      </c>
      <c r="W497" s="35"/>
      <c r="X497" s="65" t="e">
        <f t="shared" si="120"/>
        <v>#DIV/0!</v>
      </c>
    </row>
    <row r="498" spans="1:24" ht="12.75" customHeight="1" hidden="1">
      <c r="A498" s="16"/>
      <c r="B498" s="28"/>
      <c r="C498" s="29"/>
      <c r="D498" s="22"/>
      <c r="E498" s="29" t="s">
        <v>17</v>
      </c>
      <c r="F498" s="44"/>
      <c r="G498" s="39" t="s">
        <v>434</v>
      </c>
      <c r="H498" s="20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6">
        <f t="shared" si="119"/>
        <v>0</v>
      </c>
      <c r="V498" s="20">
        <f t="shared" si="121"/>
        <v>0</v>
      </c>
      <c r="W498" s="35"/>
      <c r="X498" s="65" t="e">
        <f t="shared" si="120"/>
        <v>#DIV/0!</v>
      </c>
    </row>
    <row r="499" spans="1:24" ht="12.75" customHeight="1" hidden="1">
      <c r="A499" s="16"/>
      <c r="B499" s="28"/>
      <c r="C499" s="29"/>
      <c r="D499" s="22"/>
      <c r="E499" s="29" t="s">
        <v>22</v>
      </c>
      <c r="F499" s="44"/>
      <c r="G499" s="39" t="s">
        <v>435</v>
      </c>
      <c r="H499" s="20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6">
        <f t="shared" si="119"/>
        <v>0</v>
      </c>
      <c r="V499" s="20">
        <f t="shared" si="121"/>
        <v>0</v>
      </c>
      <c r="W499" s="35"/>
      <c r="X499" s="65" t="e">
        <f t="shared" si="120"/>
        <v>#DIV/0!</v>
      </c>
    </row>
    <row r="500" spans="1:24" ht="12.75" customHeight="1" hidden="1">
      <c r="A500" s="16"/>
      <c r="B500" s="28">
        <v>24</v>
      </c>
      <c r="C500" s="29" t="s">
        <v>73</v>
      </c>
      <c r="D500" s="267"/>
      <c r="E500" s="69"/>
      <c r="F500" s="44"/>
      <c r="G500" s="39" t="s">
        <v>436</v>
      </c>
      <c r="H500" s="20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6">
        <f t="shared" si="119"/>
        <v>0</v>
      </c>
      <c r="V500" s="20">
        <f t="shared" si="121"/>
        <v>0</v>
      </c>
      <c r="W500" s="35"/>
      <c r="X500" s="65">
        <v>0</v>
      </c>
    </row>
    <row r="501" spans="1:24" ht="12.75" customHeight="1" hidden="1">
      <c r="A501" s="16"/>
      <c r="B501" s="28">
        <v>24</v>
      </c>
      <c r="C501" s="29" t="s">
        <v>42</v>
      </c>
      <c r="D501" s="267"/>
      <c r="E501" s="69"/>
      <c r="F501" s="44"/>
      <c r="G501" s="39" t="s">
        <v>437</v>
      </c>
      <c r="H501" s="20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6">
        <f t="shared" si="119"/>
        <v>0</v>
      </c>
      <c r="V501" s="20">
        <f t="shared" si="121"/>
        <v>0</v>
      </c>
      <c r="W501" s="35"/>
      <c r="X501" s="65">
        <v>0</v>
      </c>
    </row>
    <row r="502" spans="1:24" ht="12.75" customHeight="1" hidden="1">
      <c r="A502" s="16"/>
      <c r="B502" s="28">
        <v>24</v>
      </c>
      <c r="C502" s="29" t="s">
        <v>76</v>
      </c>
      <c r="D502" s="267"/>
      <c r="E502" s="69"/>
      <c r="F502" s="44"/>
      <c r="G502" s="39" t="s">
        <v>438</v>
      </c>
      <c r="H502" s="20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6">
        <f t="shared" si="119"/>
        <v>0</v>
      </c>
      <c r="V502" s="20">
        <f t="shared" si="121"/>
        <v>0</v>
      </c>
      <c r="W502" s="35"/>
      <c r="X502" s="65">
        <v>0</v>
      </c>
    </row>
    <row r="503" spans="1:24" ht="12.75" customHeight="1" hidden="1">
      <c r="A503" s="16"/>
      <c r="B503" s="28">
        <v>24</v>
      </c>
      <c r="C503" s="29" t="s">
        <v>78</v>
      </c>
      <c r="D503" s="267"/>
      <c r="E503" s="69"/>
      <c r="F503" s="44"/>
      <c r="G503" s="39" t="s">
        <v>439</v>
      </c>
      <c r="H503" s="20">
        <f>+Gastos!H360</f>
        <v>0</v>
      </c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6">
        <f>+Gastos!U360</f>
        <v>0</v>
      </c>
      <c r="V503" s="20">
        <f t="shared" si="121"/>
        <v>0</v>
      </c>
      <c r="W503" s="35"/>
      <c r="X503" s="65">
        <v>0</v>
      </c>
    </row>
    <row r="504" spans="1:24" ht="12.75">
      <c r="A504" s="16"/>
      <c r="B504" s="28"/>
      <c r="C504" s="287"/>
      <c r="D504" s="22"/>
      <c r="E504" s="69"/>
      <c r="F504" s="44"/>
      <c r="G504" s="39"/>
      <c r="H504" s="19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8"/>
      <c r="V504" s="19"/>
      <c r="W504" s="37"/>
      <c r="X504" s="65"/>
    </row>
    <row r="505" spans="1:24" ht="12.75">
      <c r="A505" s="16"/>
      <c r="B505" s="288">
        <v>25</v>
      </c>
      <c r="C505" s="284"/>
      <c r="D505" s="171"/>
      <c r="E505" s="289"/>
      <c r="F505" s="286"/>
      <c r="G505" s="275" t="s">
        <v>440</v>
      </c>
      <c r="H505" s="280">
        <f aca="true" t="shared" si="128" ref="H505:T505">SUM(H506)</f>
        <v>12000000</v>
      </c>
      <c r="I505" s="281">
        <f t="shared" si="128"/>
        <v>924773</v>
      </c>
      <c r="J505" s="281">
        <f t="shared" si="128"/>
        <v>3498073</v>
      </c>
      <c r="K505" s="281">
        <f t="shared" si="128"/>
        <v>1524867</v>
      </c>
      <c r="L505" s="281">
        <f t="shared" si="128"/>
        <v>166451</v>
      </c>
      <c r="M505" s="281">
        <f t="shared" si="128"/>
        <v>168763</v>
      </c>
      <c r="N505" s="281">
        <f t="shared" si="128"/>
        <v>187462</v>
      </c>
      <c r="O505" s="281">
        <f t="shared" si="128"/>
        <v>281489</v>
      </c>
      <c r="P505" s="281">
        <f t="shared" si="128"/>
        <v>147607</v>
      </c>
      <c r="Q505" s="281">
        <f t="shared" si="128"/>
        <v>93404</v>
      </c>
      <c r="R505" s="281">
        <f t="shared" si="128"/>
        <v>0</v>
      </c>
      <c r="S505" s="281">
        <f t="shared" si="128"/>
        <v>0</v>
      </c>
      <c r="T505" s="281">
        <f t="shared" si="128"/>
        <v>0</v>
      </c>
      <c r="U505" s="282">
        <f>+Gastos!U362</f>
        <v>6992889</v>
      </c>
      <c r="V505" s="280">
        <f t="shared" si="121"/>
        <v>5007111</v>
      </c>
      <c r="W505" s="281">
        <f>SUM(W506)</f>
        <v>0</v>
      </c>
      <c r="X505" s="188">
        <f>+Gastos!X362</f>
        <v>58.274075</v>
      </c>
    </row>
    <row r="506" spans="1:24" ht="12.75">
      <c r="A506" s="16"/>
      <c r="B506" s="263">
        <v>25</v>
      </c>
      <c r="C506" s="29" t="s">
        <v>12</v>
      </c>
      <c r="D506" s="267"/>
      <c r="E506" s="69"/>
      <c r="F506" s="44"/>
      <c r="G506" s="39" t="s">
        <v>441</v>
      </c>
      <c r="H506" s="20">
        <f>+Gastos!H363</f>
        <v>12000000</v>
      </c>
      <c r="I506" s="35">
        <f>+Gastos!I363</f>
        <v>924773</v>
      </c>
      <c r="J506" s="35">
        <f>+Gastos!J363</f>
        <v>3498073</v>
      </c>
      <c r="K506" s="35">
        <f>+Gastos!K363</f>
        <v>1524867</v>
      </c>
      <c r="L506" s="35">
        <f>+Gastos!L363</f>
        <v>166451</v>
      </c>
      <c r="M506" s="35">
        <f>+Gastos!M363</f>
        <v>168763</v>
      </c>
      <c r="N506" s="35">
        <f>+Gastos!N363</f>
        <v>187462</v>
      </c>
      <c r="O506" s="35">
        <f>+Gastos!O363</f>
        <v>281489</v>
      </c>
      <c r="P506" s="35">
        <f>+Gastos!P363</f>
        <v>147607</v>
      </c>
      <c r="Q506" s="35">
        <f>+Gastos!Q363</f>
        <v>93404</v>
      </c>
      <c r="R506" s="35">
        <f>+Gastos!R363</f>
        <v>0</v>
      </c>
      <c r="S506" s="35">
        <f>+Gastos!S363</f>
        <v>0</v>
      </c>
      <c r="T506" s="35">
        <f>+Gastos!T363</f>
        <v>0</v>
      </c>
      <c r="U506" s="36">
        <f>+Gastos!U363</f>
        <v>6992889</v>
      </c>
      <c r="V506" s="20">
        <f t="shared" si="121"/>
        <v>5007111</v>
      </c>
      <c r="W506" s="35">
        <f>+Gastos!W363</f>
        <v>0</v>
      </c>
      <c r="X506" s="65">
        <f>+Gastos!X363</f>
        <v>58.274075</v>
      </c>
    </row>
    <row r="507" spans="1:24" ht="12.75">
      <c r="A507" s="16"/>
      <c r="B507" s="283"/>
      <c r="C507" s="29"/>
      <c r="D507" s="267"/>
      <c r="E507" s="69"/>
      <c r="F507" s="44"/>
      <c r="G507" s="39"/>
      <c r="H507" s="19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8"/>
      <c r="V507" s="19"/>
      <c r="W507" s="37"/>
      <c r="X507" s="65"/>
    </row>
    <row r="508" spans="1:24" ht="13.5" thickBot="1">
      <c r="A508" s="16"/>
      <c r="B508" s="288">
        <v>26</v>
      </c>
      <c r="C508" s="290"/>
      <c r="D508" s="171"/>
      <c r="E508" s="284"/>
      <c r="F508" s="286"/>
      <c r="G508" s="275" t="s">
        <v>442</v>
      </c>
      <c r="H508" s="280">
        <f>SUM(H509+H510+H511)</f>
        <v>135577000</v>
      </c>
      <c r="I508" s="281">
        <f aca="true" t="shared" si="129" ref="I508:T508">SUM(I509+I510+I511)</f>
        <v>346040</v>
      </c>
      <c r="J508" s="281">
        <f t="shared" si="129"/>
        <v>2755053</v>
      </c>
      <c r="K508" s="281">
        <f t="shared" si="129"/>
        <v>43874226</v>
      </c>
      <c r="L508" s="281">
        <f t="shared" si="129"/>
        <v>6326720</v>
      </c>
      <c r="M508" s="281">
        <f t="shared" si="129"/>
        <v>30004742</v>
      </c>
      <c r="N508" s="281">
        <f t="shared" si="129"/>
        <v>6212354</v>
      </c>
      <c r="O508" s="281">
        <f t="shared" si="129"/>
        <v>2362029</v>
      </c>
      <c r="P508" s="281">
        <f t="shared" si="129"/>
        <v>23877625</v>
      </c>
      <c r="Q508" s="281">
        <f t="shared" si="129"/>
        <v>5891040</v>
      </c>
      <c r="R508" s="281">
        <f t="shared" si="129"/>
        <v>0</v>
      </c>
      <c r="S508" s="281">
        <f t="shared" si="129"/>
        <v>0</v>
      </c>
      <c r="T508" s="281">
        <f t="shared" si="129"/>
        <v>0</v>
      </c>
      <c r="U508" s="282">
        <f>+Gastos!U365</f>
        <v>121649829</v>
      </c>
      <c r="V508" s="280">
        <f t="shared" si="121"/>
        <v>13927171</v>
      </c>
      <c r="W508" s="281">
        <f>SUM(W509+W510+W511)</f>
        <v>0</v>
      </c>
      <c r="X508" s="188">
        <f>+Gastos!X365</f>
        <v>89.72748253759856</v>
      </c>
    </row>
    <row r="509" spans="1:24" ht="13.5" thickBot="1">
      <c r="A509" s="16"/>
      <c r="B509" s="263" t="s">
        <v>443</v>
      </c>
      <c r="C509" s="270" t="s">
        <v>12</v>
      </c>
      <c r="D509" s="22"/>
      <c r="E509" s="29"/>
      <c r="F509" s="21"/>
      <c r="G509" s="39" t="s">
        <v>444</v>
      </c>
      <c r="H509" s="20">
        <f>+Gastos!H366</f>
        <v>65221000</v>
      </c>
      <c r="I509" s="35">
        <f>+Gastos!I366</f>
        <v>346040</v>
      </c>
      <c r="J509" s="35">
        <f>+Gastos!J366</f>
        <v>382463</v>
      </c>
      <c r="K509" s="35">
        <f>+Gastos!K366</f>
        <v>43224226</v>
      </c>
      <c r="L509" s="35">
        <f>+Gastos!L366</f>
        <v>3226720</v>
      </c>
      <c r="M509" s="35">
        <f>+Gastos!M366</f>
        <v>1372442</v>
      </c>
      <c r="N509" s="35">
        <f>+Gastos!N366</f>
        <v>973354</v>
      </c>
      <c r="O509" s="35">
        <f>+Gastos!O366</f>
        <v>601629</v>
      </c>
      <c r="P509" s="35">
        <f>+Gastos!P366</f>
        <v>2794925</v>
      </c>
      <c r="Q509" s="35">
        <f>+Gastos!Q366</f>
        <v>3873010</v>
      </c>
      <c r="R509" s="35">
        <f>+Gastos!R366</f>
        <v>0</v>
      </c>
      <c r="S509" s="35">
        <f>+Gastos!S366</f>
        <v>0</v>
      </c>
      <c r="T509" s="35">
        <f>+Gastos!T366</f>
        <v>0</v>
      </c>
      <c r="U509" s="36">
        <f>+Gastos!U366</f>
        <v>56794809</v>
      </c>
      <c r="V509" s="20">
        <f t="shared" si="121"/>
        <v>8426191</v>
      </c>
      <c r="W509" s="35">
        <f>+Gastos!W366</f>
        <v>0</v>
      </c>
      <c r="X509" s="65">
        <f>+Gastos!X366</f>
        <v>87.08055534260437</v>
      </c>
    </row>
    <row r="510" spans="1:24" ht="12.75">
      <c r="A510" s="16"/>
      <c r="B510" s="263">
        <v>26</v>
      </c>
      <c r="C510" s="70" t="s">
        <v>35</v>
      </c>
      <c r="D510" s="267"/>
      <c r="E510" s="69"/>
      <c r="F510" s="44"/>
      <c r="G510" s="39" t="s">
        <v>445</v>
      </c>
      <c r="H510" s="20">
        <f>+Gastos!H367</f>
        <v>45000000</v>
      </c>
      <c r="I510" s="35">
        <f>+Gastos!I367</f>
        <v>0</v>
      </c>
      <c r="J510" s="35">
        <f>+Gastos!J367</f>
        <v>1235890</v>
      </c>
      <c r="K510" s="35">
        <f>+Gastos!K367</f>
        <v>650000</v>
      </c>
      <c r="L510" s="35">
        <f>+Gastos!L367</f>
        <v>3100000</v>
      </c>
      <c r="M510" s="35">
        <f>+Gastos!M367</f>
        <v>15000000</v>
      </c>
      <c r="N510" s="35">
        <f>+Gastos!N367</f>
        <v>1000000</v>
      </c>
      <c r="O510" s="35">
        <f>+Gastos!O367</f>
        <v>0</v>
      </c>
      <c r="P510" s="35">
        <f>+Gastos!P367</f>
        <v>20000000</v>
      </c>
      <c r="Q510" s="35">
        <f>+Gastos!Q367</f>
        <v>750000</v>
      </c>
      <c r="R510" s="35">
        <f>+Gastos!R367</f>
        <v>0</v>
      </c>
      <c r="S510" s="35">
        <f>+Gastos!S367</f>
        <v>0</v>
      </c>
      <c r="T510" s="35">
        <f>+Gastos!T367</f>
        <v>0</v>
      </c>
      <c r="U510" s="36">
        <f>+Gastos!U367</f>
        <v>41735890</v>
      </c>
      <c r="V510" s="20">
        <f t="shared" si="121"/>
        <v>3264110</v>
      </c>
      <c r="W510" s="35">
        <f>+Gastos!W367</f>
        <v>0</v>
      </c>
      <c r="X510" s="65">
        <f>+Gastos!X367</f>
        <v>92.74642222222222</v>
      </c>
    </row>
    <row r="511" spans="1:24" ht="12.75">
      <c r="A511" s="16"/>
      <c r="B511" s="263">
        <v>26</v>
      </c>
      <c r="C511" s="29" t="s">
        <v>73</v>
      </c>
      <c r="D511" s="267"/>
      <c r="E511" s="69"/>
      <c r="F511" s="44"/>
      <c r="G511" s="39" t="s">
        <v>446</v>
      </c>
      <c r="H511" s="19">
        <f>+Gastos!H368</f>
        <v>25356000</v>
      </c>
      <c r="I511" s="37">
        <f aca="true" t="shared" si="130" ref="I511:T511">SUM(I512:I513)</f>
        <v>0</v>
      </c>
      <c r="J511" s="37">
        <f t="shared" si="130"/>
        <v>1136700</v>
      </c>
      <c r="K511" s="37">
        <f t="shared" si="130"/>
        <v>0</v>
      </c>
      <c r="L511" s="37">
        <f t="shared" si="130"/>
        <v>0</v>
      </c>
      <c r="M511" s="37">
        <f t="shared" si="130"/>
        <v>13632300</v>
      </c>
      <c r="N511" s="37">
        <f t="shared" si="130"/>
        <v>4239000</v>
      </c>
      <c r="O511" s="37">
        <f t="shared" si="130"/>
        <v>1760400</v>
      </c>
      <c r="P511" s="37">
        <f t="shared" si="130"/>
        <v>1082700</v>
      </c>
      <c r="Q511" s="37">
        <f t="shared" si="130"/>
        <v>1268030</v>
      </c>
      <c r="R511" s="37">
        <f t="shared" si="130"/>
        <v>0</v>
      </c>
      <c r="S511" s="37">
        <f t="shared" si="130"/>
        <v>0</v>
      </c>
      <c r="T511" s="37">
        <f t="shared" si="130"/>
        <v>0</v>
      </c>
      <c r="U511" s="38">
        <f>+Gastos!U368</f>
        <v>23119130</v>
      </c>
      <c r="V511" s="19">
        <f t="shared" si="121"/>
        <v>2236870</v>
      </c>
      <c r="W511" s="37">
        <f>SUM(W512:W513)</f>
        <v>0</v>
      </c>
      <c r="X511" s="65">
        <f>+Gastos!X368</f>
        <v>91.17814324025872</v>
      </c>
    </row>
    <row r="512" spans="1:24" ht="12.75" customHeight="1" hidden="1">
      <c r="A512" s="16"/>
      <c r="B512" s="28" t="s">
        <v>443</v>
      </c>
      <c r="C512" s="29" t="s">
        <v>73</v>
      </c>
      <c r="D512" s="22" t="s">
        <v>14</v>
      </c>
      <c r="E512" s="69"/>
      <c r="F512" s="44"/>
      <c r="G512" s="271" t="s">
        <v>108</v>
      </c>
      <c r="H512" s="19">
        <f>+Gastos!H369</f>
        <v>25356000</v>
      </c>
      <c r="I512" s="35">
        <f>+Gastos!I369</f>
        <v>0</v>
      </c>
      <c r="J512" s="35">
        <f>+Gastos!J369</f>
        <v>1136700</v>
      </c>
      <c r="K512" s="35">
        <f>+Gastos!K369</f>
        <v>0</v>
      </c>
      <c r="L512" s="35">
        <f>+Gastos!L369</f>
        <v>0</v>
      </c>
      <c r="M512" s="35">
        <f>+Gastos!M369</f>
        <v>13632300</v>
      </c>
      <c r="N512" s="35">
        <f>+Gastos!N369</f>
        <v>4239000</v>
      </c>
      <c r="O512" s="35">
        <f>+Gastos!O369</f>
        <v>1760400</v>
      </c>
      <c r="P512" s="35">
        <f>+Gastos!P369</f>
        <v>1082700</v>
      </c>
      <c r="Q512" s="35">
        <f>+Gastos!Q369</f>
        <v>1268030</v>
      </c>
      <c r="R512" s="35">
        <f>+Gastos!R369</f>
        <v>0</v>
      </c>
      <c r="S512" s="35">
        <f>+Gastos!S369</f>
        <v>0</v>
      </c>
      <c r="T512" s="35">
        <f>+Gastos!T369</f>
        <v>0</v>
      </c>
      <c r="U512" s="36">
        <f>SUM(I512:T512)</f>
        <v>23119130</v>
      </c>
      <c r="V512" s="20">
        <f t="shared" si="121"/>
        <v>2236870</v>
      </c>
      <c r="W512" s="35">
        <f>+Gastos!W369</f>
        <v>0</v>
      </c>
      <c r="X512" s="65">
        <f>+Gastos!X369</f>
        <v>91.17814324025872</v>
      </c>
    </row>
    <row r="513" spans="1:24" ht="12.75" customHeight="1" hidden="1">
      <c r="A513" s="16"/>
      <c r="B513" s="28" t="s">
        <v>443</v>
      </c>
      <c r="C513" s="29" t="s">
        <v>73</v>
      </c>
      <c r="D513" s="22" t="s">
        <v>30</v>
      </c>
      <c r="E513" s="69"/>
      <c r="F513" s="44"/>
      <c r="G513" s="271" t="s">
        <v>447</v>
      </c>
      <c r="H513" s="20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6">
        <f>SUM(I513:T513)</f>
        <v>0</v>
      </c>
      <c r="V513" s="20">
        <f t="shared" si="121"/>
        <v>0</v>
      </c>
      <c r="W513" s="35"/>
      <c r="X513" s="65"/>
    </row>
    <row r="514" spans="1:24" ht="12.75">
      <c r="A514" s="16"/>
      <c r="B514" s="283"/>
      <c r="C514" s="29"/>
      <c r="D514" s="267"/>
      <c r="E514" s="69"/>
      <c r="F514" s="44"/>
      <c r="G514" s="39"/>
      <c r="H514" s="19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6"/>
      <c r="V514" s="19"/>
      <c r="W514" s="37"/>
      <c r="X514" s="65"/>
    </row>
    <row r="515" spans="1:24" ht="12.75">
      <c r="A515" s="16"/>
      <c r="B515" s="288">
        <v>29</v>
      </c>
      <c r="C515" s="274"/>
      <c r="D515" s="285"/>
      <c r="E515" s="284"/>
      <c r="F515" s="286"/>
      <c r="G515" s="275" t="s">
        <v>448</v>
      </c>
      <c r="H515" s="280">
        <f>SUM(H516+H517+H518+H519+H520+H524+H527+H530)</f>
        <v>346661000</v>
      </c>
      <c r="I515" s="281">
        <f aca="true" t="shared" si="131" ref="I515:T515">SUM(I516+I517+I518+I519+I520+I524+I527+I530)</f>
        <v>200298</v>
      </c>
      <c r="J515" s="281">
        <f t="shared" si="131"/>
        <v>3722275</v>
      </c>
      <c r="K515" s="281">
        <f t="shared" si="131"/>
        <v>13143500</v>
      </c>
      <c r="L515" s="281">
        <f t="shared" si="131"/>
        <v>4488555</v>
      </c>
      <c r="M515" s="281">
        <f t="shared" si="131"/>
        <v>23867745</v>
      </c>
      <c r="N515" s="281">
        <f t="shared" si="131"/>
        <v>33709096</v>
      </c>
      <c r="O515" s="281">
        <f t="shared" si="131"/>
        <v>26747120</v>
      </c>
      <c r="P515" s="281">
        <f t="shared" si="131"/>
        <v>48047516</v>
      </c>
      <c r="Q515" s="281">
        <f t="shared" si="131"/>
        <v>102681778</v>
      </c>
      <c r="R515" s="281">
        <f t="shared" si="131"/>
        <v>0</v>
      </c>
      <c r="S515" s="281">
        <f t="shared" si="131"/>
        <v>0</v>
      </c>
      <c r="T515" s="281">
        <f t="shared" si="131"/>
        <v>0</v>
      </c>
      <c r="U515" s="282">
        <f>+Gastos!U372</f>
        <v>256607883</v>
      </c>
      <c r="V515" s="280">
        <f t="shared" si="121"/>
        <v>90053117</v>
      </c>
      <c r="W515" s="281">
        <f>SUM(W516+W517+W518+W519+W520+W524+W527+W530)</f>
        <v>0</v>
      </c>
      <c r="X515" s="188">
        <f>+Gastos!X372</f>
        <v>74.02271469822102</v>
      </c>
    </row>
    <row r="516" spans="1:24" ht="12.75">
      <c r="A516" s="16"/>
      <c r="B516" s="263">
        <v>29</v>
      </c>
      <c r="C516" s="29" t="s">
        <v>12</v>
      </c>
      <c r="D516" s="267"/>
      <c r="E516" s="69"/>
      <c r="F516" s="44"/>
      <c r="G516" s="39" t="s">
        <v>114</v>
      </c>
      <c r="H516" s="20">
        <f>+Gastos!H373</f>
        <v>0</v>
      </c>
      <c r="I516" s="35">
        <f>+Gastos!I373</f>
        <v>0</v>
      </c>
      <c r="J516" s="35">
        <f>+Gastos!J373</f>
        <v>0</v>
      </c>
      <c r="K516" s="35">
        <f>+Gastos!K373</f>
        <v>0</v>
      </c>
      <c r="L516" s="35">
        <f>+Gastos!L373</f>
        <v>0</v>
      </c>
      <c r="M516" s="35">
        <f>+Gastos!M373</f>
        <v>0</v>
      </c>
      <c r="N516" s="35">
        <f>+Gastos!N373</f>
        <v>0</v>
      </c>
      <c r="O516" s="35">
        <f>+Gastos!O373</f>
        <v>0</v>
      </c>
      <c r="P516" s="35">
        <f>+Gastos!P373</f>
        <v>0</v>
      </c>
      <c r="Q516" s="35">
        <f>+Gastos!Q373</f>
        <v>0</v>
      </c>
      <c r="R516" s="35">
        <f>+Gastos!R373</f>
        <v>0</v>
      </c>
      <c r="S516" s="35">
        <f>+Gastos!S373</f>
        <v>0</v>
      </c>
      <c r="T516" s="35">
        <f>+Gastos!T373</f>
        <v>0</v>
      </c>
      <c r="U516" s="36">
        <f>+Gastos!U373</f>
        <v>0</v>
      </c>
      <c r="V516" s="20">
        <f t="shared" si="121"/>
        <v>0</v>
      </c>
      <c r="W516" s="35">
        <f>+Gastos!W373</f>
        <v>0</v>
      </c>
      <c r="X516" s="65" t="e">
        <f>+Gastos!X373</f>
        <v>#DIV/0!</v>
      </c>
    </row>
    <row r="517" spans="1:24" ht="12.75">
      <c r="A517" s="16"/>
      <c r="B517" s="263">
        <v>29</v>
      </c>
      <c r="C517" s="29" t="s">
        <v>35</v>
      </c>
      <c r="D517" s="267"/>
      <c r="E517" s="69"/>
      <c r="F517" s="44"/>
      <c r="G517" s="39" t="s">
        <v>115</v>
      </c>
      <c r="H517" s="20">
        <f>+Gastos!H374</f>
        <v>116000000</v>
      </c>
      <c r="I517" s="35">
        <f>+Gastos!I374</f>
        <v>0</v>
      </c>
      <c r="J517" s="35">
        <f>+Gastos!J374</f>
        <v>0</v>
      </c>
      <c r="K517" s="35">
        <f>+Gastos!K374</f>
        <v>3474800</v>
      </c>
      <c r="L517" s="35">
        <f>+Gastos!L374</f>
        <v>0</v>
      </c>
      <c r="M517" s="35">
        <f>+Gastos!M374</f>
        <v>0</v>
      </c>
      <c r="N517" s="35">
        <f>+Gastos!N374</f>
        <v>0</v>
      </c>
      <c r="O517" s="35">
        <f>+Gastos!O374</f>
        <v>0</v>
      </c>
      <c r="P517" s="35">
        <f>+Gastos!P374</f>
        <v>0</v>
      </c>
      <c r="Q517" s="35">
        <f>+Gastos!Q374</f>
        <v>93900000</v>
      </c>
      <c r="R517" s="35">
        <f>+Gastos!R374</f>
        <v>0</v>
      </c>
      <c r="S517" s="35">
        <f>+Gastos!S374</f>
        <v>0</v>
      </c>
      <c r="T517" s="35">
        <f>+Gastos!T374</f>
        <v>0</v>
      </c>
      <c r="U517" s="36">
        <f>+Gastos!U374</f>
        <v>97374800</v>
      </c>
      <c r="V517" s="20">
        <f t="shared" si="121"/>
        <v>18625200</v>
      </c>
      <c r="W517" s="35">
        <f>+Gastos!W374</f>
        <v>0</v>
      </c>
      <c r="X517" s="65">
        <v>0</v>
      </c>
    </row>
    <row r="518" spans="1:24" ht="12.75">
      <c r="A518" s="16"/>
      <c r="B518" s="263">
        <v>29</v>
      </c>
      <c r="C518" s="29" t="s">
        <v>10</v>
      </c>
      <c r="D518" s="267"/>
      <c r="E518" s="69"/>
      <c r="F518" s="44"/>
      <c r="G518" s="39" t="s">
        <v>116</v>
      </c>
      <c r="H518" s="20">
        <f>+Gastos!H375</f>
        <v>61000000</v>
      </c>
      <c r="I518" s="35">
        <f>+Gastos!I375</f>
        <v>0</v>
      </c>
      <c r="J518" s="35">
        <f>+Gastos!J375</f>
        <v>0</v>
      </c>
      <c r="K518" s="35">
        <f>+Gastos!K375</f>
        <v>0</v>
      </c>
      <c r="L518" s="35">
        <f>+Gastos!L375</f>
        <v>0</v>
      </c>
      <c r="M518" s="35">
        <f>+Gastos!M375</f>
        <v>0</v>
      </c>
      <c r="N518" s="35">
        <f>+Gastos!N375</f>
        <v>0</v>
      </c>
      <c r="O518" s="35">
        <f>+Gastos!O375</f>
        <v>0</v>
      </c>
      <c r="P518" s="35">
        <f>+Gastos!P375</f>
        <v>35845815</v>
      </c>
      <c r="Q518" s="35">
        <f>+Gastos!Q375</f>
        <v>0</v>
      </c>
      <c r="R518" s="35">
        <f>+Gastos!R375</f>
        <v>0</v>
      </c>
      <c r="S518" s="35">
        <f>+Gastos!S375</f>
        <v>0</v>
      </c>
      <c r="T518" s="35">
        <f>+Gastos!T375</f>
        <v>0</v>
      </c>
      <c r="U518" s="36">
        <f>+Gastos!U375</f>
        <v>35845815</v>
      </c>
      <c r="V518" s="20">
        <f t="shared" si="121"/>
        <v>25154185</v>
      </c>
      <c r="W518" s="35">
        <f>+Gastos!W375</f>
        <v>0</v>
      </c>
      <c r="X518" s="65">
        <f>+Gastos!X375</f>
        <v>58.763631147540984</v>
      </c>
    </row>
    <row r="519" spans="1:24" ht="12.75">
      <c r="A519" s="16"/>
      <c r="B519" s="263">
        <v>29</v>
      </c>
      <c r="C519" s="29" t="s">
        <v>73</v>
      </c>
      <c r="D519" s="267"/>
      <c r="E519" s="69"/>
      <c r="F519" s="44"/>
      <c r="G519" s="39" t="s">
        <v>117</v>
      </c>
      <c r="H519" s="20">
        <f>+Gastos!H376</f>
        <v>93729000</v>
      </c>
      <c r="I519" s="35">
        <f>+Gastos!I376</f>
        <v>177418</v>
      </c>
      <c r="J519" s="35">
        <f>+Gastos!J376</f>
        <v>3232352</v>
      </c>
      <c r="K519" s="35">
        <f>+Gastos!K376</f>
        <v>2415789</v>
      </c>
      <c r="L519" s="35">
        <f>+Gastos!L376</f>
        <v>0</v>
      </c>
      <c r="M519" s="35">
        <f>+Gastos!M376</f>
        <v>19771218</v>
      </c>
      <c r="N519" s="35">
        <f>+Gastos!N376</f>
        <v>32229594</v>
      </c>
      <c r="O519" s="35">
        <f>+Gastos!O376</f>
        <v>14294335</v>
      </c>
      <c r="P519" s="35">
        <f>+Gastos!P376</f>
        <v>8139801</v>
      </c>
      <c r="Q519" s="35">
        <f>+Gastos!Q376</f>
        <v>758633</v>
      </c>
      <c r="R519" s="35">
        <f>+Gastos!R376</f>
        <v>0</v>
      </c>
      <c r="S519" s="35">
        <f>+Gastos!S376</f>
        <v>0</v>
      </c>
      <c r="T519" s="35">
        <f>+Gastos!T376</f>
        <v>0</v>
      </c>
      <c r="U519" s="36">
        <f>+Gastos!U376</f>
        <v>81019140</v>
      </c>
      <c r="V519" s="20">
        <f t="shared" si="121"/>
        <v>12709860</v>
      </c>
      <c r="W519" s="35">
        <f>+Gastos!W376</f>
        <v>0</v>
      </c>
      <c r="X519" s="65">
        <f>+Gastos!X376</f>
        <v>86.43977851038632</v>
      </c>
    </row>
    <row r="520" spans="1:24" ht="12.75">
      <c r="A520" s="16"/>
      <c r="B520" s="263">
        <v>29</v>
      </c>
      <c r="C520" s="29" t="s">
        <v>42</v>
      </c>
      <c r="D520" s="267"/>
      <c r="E520" s="69"/>
      <c r="F520" s="44"/>
      <c r="G520" s="39" t="s">
        <v>118</v>
      </c>
      <c r="H520" s="19">
        <f>+Gastos!H377</f>
        <v>21090000</v>
      </c>
      <c r="I520" s="35">
        <f>+Gastos!I377</f>
        <v>22880</v>
      </c>
      <c r="J520" s="35">
        <f>+Gastos!J377</f>
        <v>0</v>
      </c>
      <c r="K520" s="35">
        <f>+Gastos!K377</f>
        <v>0</v>
      </c>
      <c r="L520" s="35">
        <f>+Gastos!L377</f>
        <v>3403400</v>
      </c>
      <c r="M520" s="35">
        <f>+Gastos!M377</f>
        <v>2100683</v>
      </c>
      <c r="N520" s="35">
        <f>+Gastos!N377</f>
        <v>839998</v>
      </c>
      <c r="O520" s="35">
        <f>+Gastos!O377</f>
        <v>6320697</v>
      </c>
      <c r="P520" s="35">
        <f>+Gastos!P377</f>
        <v>272510</v>
      </c>
      <c r="Q520" s="35">
        <f>+Gastos!Q377</f>
        <v>2341700</v>
      </c>
      <c r="R520" s="35">
        <f>+Gastos!R377</f>
        <v>0</v>
      </c>
      <c r="S520" s="35">
        <f>+Gastos!S377</f>
        <v>0</v>
      </c>
      <c r="T520" s="35">
        <f>+Gastos!T377</f>
        <v>0</v>
      </c>
      <c r="U520" s="38">
        <f>+Gastos!U377</f>
        <v>15301868</v>
      </c>
      <c r="V520" s="19">
        <f t="shared" si="121"/>
        <v>5788132</v>
      </c>
      <c r="W520" s="35">
        <f>+Gastos!W377</f>
        <v>0</v>
      </c>
      <c r="X520" s="65">
        <f>+Gastos!X377</f>
        <v>72.55508771929826</v>
      </c>
    </row>
    <row r="521" spans="1:24" ht="12.75" customHeight="1" hidden="1">
      <c r="A521" s="16"/>
      <c r="B521" s="263">
        <v>29</v>
      </c>
      <c r="C521" s="29" t="s">
        <v>42</v>
      </c>
      <c r="D521" s="22" t="s">
        <v>14</v>
      </c>
      <c r="E521" s="69"/>
      <c r="F521" s="44"/>
      <c r="G521" s="39" t="s">
        <v>449</v>
      </c>
      <c r="H521" s="20"/>
      <c r="I521" s="35">
        <f>+Gastos!I378</f>
        <v>22880</v>
      </c>
      <c r="J521" s="35">
        <f>+Gastos!J378</f>
        <v>0</v>
      </c>
      <c r="K521" s="35">
        <f>+Gastos!K378</f>
        <v>0</v>
      </c>
      <c r="L521" s="35">
        <f>+Gastos!L378</f>
        <v>0</v>
      </c>
      <c r="M521" s="35">
        <f>+Gastos!M378</f>
        <v>653643</v>
      </c>
      <c r="N521" s="35">
        <f>+Gastos!N378</f>
        <v>0</v>
      </c>
      <c r="O521" s="35">
        <f>+Gastos!O378</f>
        <v>0</v>
      </c>
      <c r="P521" s="35">
        <f>+Gastos!P378</f>
        <v>0</v>
      </c>
      <c r="Q521" s="35">
        <f>+Gastos!Q378</f>
        <v>0</v>
      </c>
      <c r="R521" s="35">
        <f>+Gastos!R378</f>
        <v>0</v>
      </c>
      <c r="S521" s="35">
        <f>+Gastos!S378</f>
        <v>0</v>
      </c>
      <c r="T521" s="35">
        <f>+Gastos!T378</f>
        <v>0</v>
      </c>
      <c r="U521" s="36">
        <f aca="true" t="shared" si="132" ref="U521:U529">SUM(I521:T521)</f>
        <v>676523</v>
      </c>
      <c r="V521" s="20">
        <f t="shared" si="121"/>
        <v>-676523</v>
      </c>
      <c r="W521" s="35">
        <f>+Gastos!W378</f>
        <v>0</v>
      </c>
      <c r="X521" s="65">
        <f>+Gastos!X378</f>
        <v>82.40231425091352</v>
      </c>
    </row>
    <row r="522" spans="1:24" ht="12.75" customHeight="1" hidden="1">
      <c r="A522" s="16"/>
      <c r="B522" s="263">
        <v>29</v>
      </c>
      <c r="C522" s="29" t="s">
        <v>42</v>
      </c>
      <c r="D522" s="22" t="s">
        <v>17</v>
      </c>
      <c r="E522" s="69"/>
      <c r="F522" s="44"/>
      <c r="G522" s="39" t="s">
        <v>450</v>
      </c>
      <c r="H522" s="20"/>
      <c r="I522" s="35">
        <f>+Gastos!I379</f>
        <v>0</v>
      </c>
      <c r="J522" s="35">
        <f>+Gastos!J379</f>
        <v>0</v>
      </c>
      <c r="K522" s="35">
        <f>+Gastos!K379</f>
        <v>0</v>
      </c>
      <c r="L522" s="35">
        <f>+Gastos!L379</f>
        <v>0</v>
      </c>
      <c r="M522" s="35">
        <f>+Gastos!M379</f>
        <v>0</v>
      </c>
      <c r="N522" s="35">
        <f>+Gastos!N379</f>
        <v>0</v>
      </c>
      <c r="O522" s="35">
        <f>+Gastos!O379</f>
        <v>0</v>
      </c>
      <c r="P522" s="35">
        <f>+Gastos!P379</f>
        <v>0</v>
      </c>
      <c r="Q522" s="35">
        <f>+Gastos!Q379</f>
        <v>0</v>
      </c>
      <c r="R522" s="35">
        <f>+Gastos!R379</f>
        <v>0</v>
      </c>
      <c r="S522" s="35">
        <f>+Gastos!S379</f>
        <v>0</v>
      </c>
      <c r="T522" s="35">
        <f>+Gastos!T379</f>
        <v>0</v>
      </c>
      <c r="U522" s="36">
        <f t="shared" si="132"/>
        <v>0</v>
      </c>
      <c r="V522" s="20">
        <f t="shared" si="121"/>
        <v>0</v>
      </c>
      <c r="W522" s="35">
        <f>+Gastos!W379</f>
        <v>0</v>
      </c>
      <c r="X522" s="65" t="e">
        <f>+Gastos!X379</f>
        <v>#DIV/0!</v>
      </c>
    </row>
    <row r="523" spans="1:24" ht="12.75" customHeight="1" hidden="1">
      <c r="A523" s="16"/>
      <c r="B523" s="263">
        <v>29</v>
      </c>
      <c r="C523" s="29" t="s">
        <v>42</v>
      </c>
      <c r="D523" s="22" t="s">
        <v>30</v>
      </c>
      <c r="E523" s="69"/>
      <c r="F523" s="44"/>
      <c r="G523" s="39" t="s">
        <v>34</v>
      </c>
      <c r="H523" s="20"/>
      <c r="I523" s="35">
        <f>+Gastos!I380</f>
        <v>0</v>
      </c>
      <c r="J523" s="35">
        <f>+Gastos!J380</f>
        <v>0</v>
      </c>
      <c r="K523" s="35">
        <f>+Gastos!K380</f>
        <v>0</v>
      </c>
      <c r="L523" s="35">
        <f>+Gastos!L380</f>
        <v>3403400</v>
      </c>
      <c r="M523" s="35">
        <f>+Gastos!M380</f>
        <v>1447040</v>
      </c>
      <c r="N523" s="35">
        <f>+Gastos!N380</f>
        <v>839998</v>
      </c>
      <c r="O523" s="35">
        <f>+Gastos!O380</f>
        <v>6320697</v>
      </c>
      <c r="P523" s="35">
        <f>+Gastos!P380</f>
        <v>272510</v>
      </c>
      <c r="Q523" s="35">
        <f>+Gastos!Q380</f>
        <v>2341700</v>
      </c>
      <c r="R523" s="35">
        <f>+Gastos!R380</f>
        <v>0</v>
      </c>
      <c r="S523" s="35">
        <f>+Gastos!S380</f>
        <v>0</v>
      </c>
      <c r="T523" s="35">
        <f>+Gastos!T380</f>
        <v>0</v>
      </c>
      <c r="U523" s="36">
        <f t="shared" si="132"/>
        <v>14625345</v>
      </c>
      <c r="V523" s="20">
        <f t="shared" si="121"/>
        <v>-14625345</v>
      </c>
      <c r="W523" s="35">
        <f>+Gastos!W380</f>
        <v>0</v>
      </c>
      <c r="X523" s="65">
        <f>+Gastos!X380</f>
        <v>72.15622379002417</v>
      </c>
    </row>
    <row r="524" spans="1:24" ht="12.75">
      <c r="A524" s="16"/>
      <c r="B524" s="263">
        <v>29</v>
      </c>
      <c r="C524" s="29" t="s">
        <v>76</v>
      </c>
      <c r="D524" s="267"/>
      <c r="E524" s="69"/>
      <c r="F524" s="44"/>
      <c r="G524" s="39" t="s">
        <v>119</v>
      </c>
      <c r="H524" s="19">
        <f>+Gastos!H381</f>
        <v>32152000</v>
      </c>
      <c r="I524" s="35">
        <f>+Gastos!I381</f>
        <v>0</v>
      </c>
      <c r="J524" s="35">
        <f>+Gastos!J381</f>
        <v>489923</v>
      </c>
      <c r="K524" s="35">
        <f>+Gastos!K381</f>
        <v>7252911</v>
      </c>
      <c r="L524" s="35">
        <f>+Gastos!L381</f>
        <v>1085155</v>
      </c>
      <c r="M524" s="35">
        <f>+Gastos!M381</f>
        <v>498610</v>
      </c>
      <c r="N524" s="35">
        <f>+Gastos!N381</f>
        <v>639504</v>
      </c>
      <c r="O524" s="35">
        <f>+Gastos!O381</f>
        <v>740716</v>
      </c>
      <c r="P524" s="35">
        <f>+Gastos!P381</f>
        <v>3789390</v>
      </c>
      <c r="Q524" s="35">
        <f>+Gastos!Q381</f>
        <v>4907945</v>
      </c>
      <c r="R524" s="35">
        <f>+Gastos!R381</f>
        <v>0</v>
      </c>
      <c r="S524" s="35">
        <f>+Gastos!S381</f>
        <v>0</v>
      </c>
      <c r="T524" s="35">
        <f>+Gastos!T381</f>
        <v>0</v>
      </c>
      <c r="U524" s="38">
        <f>+Gastos!U381</f>
        <v>19404154</v>
      </c>
      <c r="V524" s="19">
        <f t="shared" si="121"/>
        <v>12747846</v>
      </c>
      <c r="W524" s="35">
        <f>+Gastos!W381</f>
        <v>0</v>
      </c>
      <c r="X524" s="65">
        <f>+Gastos!X381</f>
        <v>60.351312515551136</v>
      </c>
    </row>
    <row r="525" spans="1:24" ht="12.75" customHeight="1" hidden="1">
      <c r="A525" s="16"/>
      <c r="B525" s="263">
        <v>29</v>
      </c>
      <c r="C525" s="29" t="s">
        <v>76</v>
      </c>
      <c r="D525" s="22" t="s">
        <v>14</v>
      </c>
      <c r="E525" s="69"/>
      <c r="F525" s="44"/>
      <c r="G525" s="39" t="s">
        <v>451</v>
      </c>
      <c r="H525" s="20"/>
      <c r="I525" s="35">
        <f>+Gastos!I382</f>
        <v>0</v>
      </c>
      <c r="J525" s="35">
        <f>+Gastos!J382</f>
        <v>489923</v>
      </c>
      <c r="K525" s="35">
        <f>+Gastos!K382</f>
        <v>7252911</v>
      </c>
      <c r="L525" s="35">
        <f>+Gastos!L382</f>
        <v>1085155</v>
      </c>
      <c r="M525" s="35">
        <f>+Gastos!M382</f>
        <v>0</v>
      </c>
      <c r="N525" s="35">
        <f>+Gastos!N382</f>
        <v>639504</v>
      </c>
      <c r="O525" s="35">
        <f>+Gastos!O382</f>
        <v>740716</v>
      </c>
      <c r="P525" s="35">
        <f>+Gastos!P382</f>
        <v>3789390</v>
      </c>
      <c r="Q525" s="35">
        <f>+Gastos!Q382</f>
        <v>0</v>
      </c>
      <c r="R525" s="35">
        <f>+Gastos!R382</f>
        <v>0</v>
      </c>
      <c r="S525" s="35">
        <f>+Gastos!S382</f>
        <v>0</v>
      </c>
      <c r="T525" s="35">
        <f>+Gastos!T382</f>
        <v>0</v>
      </c>
      <c r="U525" s="36">
        <f t="shared" si="132"/>
        <v>13997599</v>
      </c>
      <c r="V525" s="20">
        <f t="shared" si="121"/>
        <v>-13997599</v>
      </c>
      <c r="W525" s="35">
        <f>+Gastos!W382</f>
        <v>0</v>
      </c>
      <c r="X525" s="65" t="e">
        <f t="shared" si="120"/>
        <v>#DIV/0!</v>
      </c>
    </row>
    <row r="526" spans="1:24" ht="12.75" customHeight="1" hidden="1">
      <c r="A526" s="16"/>
      <c r="B526" s="263">
        <v>29</v>
      </c>
      <c r="C526" s="29" t="s">
        <v>76</v>
      </c>
      <c r="D526" s="22" t="s">
        <v>17</v>
      </c>
      <c r="E526" s="69"/>
      <c r="F526" s="44"/>
      <c r="G526" s="39" t="s">
        <v>452</v>
      </c>
      <c r="H526" s="20"/>
      <c r="I526" s="35">
        <f>+Gastos!I383</f>
        <v>0</v>
      </c>
      <c r="J526" s="35">
        <f>+Gastos!J383</f>
        <v>0</v>
      </c>
      <c r="K526" s="35">
        <f>+Gastos!K383</f>
        <v>0</v>
      </c>
      <c r="L526" s="35">
        <f>+Gastos!L383</f>
        <v>0</v>
      </c>
      <c r="M526" s="35">
        <f>+Gastos!M383</f>
        <v>498610</v>
      </c>
      <c r="N526" s="35">
        <f>+Gastos!N383</f>
        <v>0</v>
      </c>
      <c r="O526" s="35">
        <f>+Gastos!O383</f>
        <v>0</v>
      </c>
      <c r="P526" s="35">
        <f>+Gastos!P383</f>
        <v>0</v>
      </c>
      <c r="Q526" s="35">
        <f>+Gastos!Q383</f>
        <v>4907945</v>
      </c>
      <c r="R526" s="35">
        <f>+Gastos!R383</f>
        <v>0</v>
      </c>
      <c r="S526" s="35">
        <f>+Gastos!S383</f>
        <v>0</v>
      </c>
      <c r="T526" s="35">
        <f>+Gastos!T383</f>
        <v>0</v>
      </c>
      <c r="U526" s="36">
        <f t="shared" si="132"/>
        <v>5406555</v>
      </c>
      <c r="V526" s="20">
        <f t="shared" si="121"/>
        <v>-5406555</v>
      </c>
      <c r="W526" s="35">
        <f>+Gastos!W383</f>
        <v>0</v>
      </c>
      <c r="X526" s="65" t="e">
        <f t="shared" si="120"/>
        <v>#DIV/0!</v>
      </c>
    </row>
    <row r="527" spans="1:24" ht="12.75">
      <c r="A527" s="16"/>
      <c r="B527" s="263">
        <v>29</v>
      </c>
      <c r="C527" s="29" t="s">
        <v>78</v>
      </c>
      <c r="D527" s="267"/>
      <c r="E527" s="69"/>
      <c r="F527" s="44"/>
      <c r="G527" s="39" t="s">
        <v>120</v>
      </c>
      <c r="H527" s="19">
        <f>+Gastos!H384</f>
        <v>16498000</v>
      </c>
      <c r="I527" s="35">
        <f>+Gastos!I384</f>
        <v>0</v>
      </c>
      <c r="J527" s="35">
        <f>+Gastos!J384</f>
        <v>0</v>
      </c>
      <c r="K527" s="35">
        <f>+Gastos!K384</f>
        <v>0</v>
      </c>
      <c r="L527" s="35">
        <f>+Gastos!L384</f>
        <v>0</v>
      </c>
      <c r="M527" s="35">
        <f>+Gastos!M384</f>
        <v>1497234</v>
      </c>
      <c r="N527" s="35">
        <f>+Gastos!N384</f>
        <v>0</v>
      </c>
      <c r="O527" s="35">
        <f>+Gastos!O384</f>
        <v>0</v>
      </c>
      <c r="P527" s="35">
        <f>+Gastos!P384</f>
        <v>0</v>
      </c>
      <c r="Q527" s="35">
        <f>+Gastos!Q384</f>
        <v>0</v>
      </c>
      <c r="R527" s="35">
        <f>+Gastos!R384</f>
        <v>0</v>
      </c>
      <c r="S527" s="35">
        <f>+Gastos!S384</f>
        <v>0</v>
      </c>
      <c r="T527" s="35">
        <f>+Gastos!T384</f>
        <v>0</v>
      </c>
      <c r="U527" s="38">
        <f>+Gastos!U384</f>
        <v>1497234</v>
      </c>
      <c r="V527" s="19">
        <f t="shared" si="121"/>
        <v>15000766</v>
      </c>
      <c r="W527" s="35">
        <f>+Gastos!W384</f>
        <v>0</v>
      </c>
      <c r="X527" s="65">
        <f>+Gastos!X384</f>
        <v>9.075245484301126</v>
      </c>
    </row>
    <row r="528" spans="1:24" ht="12.75" customHeight="1" hidden="1">
      <c r="A528" s="16"/>
      <c r="B528" s="263">
        <v>29</v>
      </c>
      <c r="C528" s="29" t="s">
        <v>78</v>
      </c>
      <c r="D528" s="22" t="s">
        <v>14</v>
      </c>
      <c r="E528" s="69"/>
      <c r="F528" s="44"/>
      <c r="G528" s="39" t="s">
        <v>453</v>
      </c>
      <c r="H528" s="20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6">
        <f t="shared" si="132"/>
        <v>0</v>
      </c>
      <c r="V528" s="20">
        <f t="shared" si="121"/>
        <v>0</v>
      </c>
      <c r="W528" s="35"/>
      <c r="X528" s="65" t="e">
        <f t="shared" si="120"/>
        <v>#DIV/0!</v>
      </c>
    </row>
    <row r="529" spans="1:24" ht="12.75" customHeight="1" hidden="1">
      <c r="A529" s="16"/>
      <c r="B529" s="263">
        <v>29</v>
      </c>
      <c r="C529" s="29" t="s">
        <v>78</v>
      </c>
      <c r="D529" s="22" t="s">
        <v>17</v>
      </c>
      <c r="E529" s="69"/>
      <c r="F529" s="44"/>
      <c r="G529" s="39" t="s">
        <v>454</v>
      </c>
      <c r="H529" s="20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6">
        <f t="shared" si="132"/>
        <v>0</v>
      </c>
      <c r="V529" s="20">
        <f t="shared" si="121"/>
        <v>0</v>
      </c>
      <c r="W529" s="35"/>
      <c r="X529" s="65" t="e">
        <f t="shared" si="120"/>
        <v>#DIV/0!</v>
      </c>
    </row>
    <row r="530" spans="1:24" ht="12.75">
      <c r="A530" s="16"/>
      <c r="B530" s="263">
        <v>29</v>
      </c>
      <c r="C530" s="29" t="s">
        <v>40</v>
      </c>
      <c r="D530" s="22"/>
      <c r="E530" s="69"/>
      <c r="F530" s="44"/>
      <c r="G530" s="39" t="s">
        <v>121</v>
      </c>
      <c r="H530" s="20">
        <f>+Gastos!H387</f>
        <v>6192000</v>
      </c>
      <c r="I530" s="35">
        <f>+Gastos!I387</f>
        <v>0</v>
      </c>
      <c r="J530" s="35">
        <f>+Gastos!J387</f>
        <v>0</v>
      </c>
      <c r="K530" s="35">
        <f>+Gastos!K387</f>
        <v>0</v>
      </c>
      <c r="L530" s="35">
        <f>+Gastos!L387</f>
        <v>0</v>
      </c>
      <c r="M530" s="35">
        <f>+Gastos!M387</f>
        <v>0</v>
      </c>
      <c r="N530" s="35">
        <f>+Gastos!N387</f>
        <v>0</v>
      </c>
      <c r="O530" s="35">
        <f>+Gastos!O387</f>
        <v>5391372</v>
      </c>
      <c r="P530" s="35">
        <f>+Gastos!P387</f>
        <v>0</v>
      </c>
      <c r="Q530" s="35">
        <f>+Gastos!Q387</f>
        <v>773500</v>
      </c>
      <c r="R530" s="35">
        <f>+Gastos!R387</f>
        <v>0</v>
      </c>
      <c r="S530" s="35">
        <f>+Gastos!S387</f>
        <v>0</v>
      </c>
      <c r="T530" s="35">
        <f>+Gastos!T387</f>
        <v>0</v>
      </c>
      <c r="U530" s="36">
        <f>+Gastos!U387</f>
        <v>6164872</v>
      </c>
      <c r="V530" s="20">
        <f t="shared" si="121"/>
        <v>27128</v>
      </c>
      <c r="W530" s="35">
        <f>+Gastos!W387</f>
        <v>0</v>
      </c>
      <c r="X530" s="65">
        <f>+Gastos!X387</f>
        <v>99.56188630490956</v>
      </c>
    </row>
    <row r="531" spans="1:24" ht="12.75">
      <c r="A531" s="16"/>
      <c r="B531" s="283"/>
      <c r="C531" s="29"/>
      <c r="D531" s="267"/>
      <c r="E531" s="69"/>
      <c r="F531" s="44"/>
      <c r="G531" s="39"/>
      <c r="H531" s="19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6"/>
      <c r="V531" s="19"/>
      <c r="W531" s="37"/>
      <c r="X531" s="65"/>
    </row>
    <row r="532" spans="1:24" ht="12.75" hidden="1">
      <c r="A532" s="16"/>
      <c r="B532" s="288">
        <v>30</v>
      </c>
      <c r="C532" s="274"/>
      <c r="D532" s="285"/>
      <c r="E532" s="284"/>
      <c r="F532" s="286"/>
      <c r="G532" s="275" t="s">
        <v>455</v>
      </c>
      <c r="H532" s="280">
        <f>SUM(H533+H537+H538+H539)</f>
        <v>0</v>
      </c>
      <c r="I532" s="281">
        <f aca="true" t="shared" si="133" ref="I532:T532">SUM(I533+I537+I538+I539)</f>
        <v>0</v>
      </c>
      <c r="J532" s="281">
        <f t="shared" si="133"/>
        <v>0</v>
      </c>
      <c r="K532" s="281">
        <f t="shared" si="133"/>
        <v>0</v>
      </c>
      <c r="L532" s="281">
        <f t="shared" si="133"/>
        <v>0</v>
      </c>
      <c r="M532" s="281">
        <f t="shared" si="133"/>
        <v>0</v>
      </c>
      <c r="N532" s="281">
        <f t="shared" si="133"/>
        <v>0</v>
      </c>
      <c r="O532" s="281">
        <f t="shared" si="133"/>
        <v>0</v>
      </c>
      <c r="P532" s="281">
        <f t="shared" si="133"/>
        <v>0</v>
      </c>
      <c r="Q532" s="281">
        <f t="shared" si="133"/>
        <v>0</v>
      </c>
      <c r="R532" s="281">
        <f t="shared" si="133"/>
        <v>0</v>
      </c>
      <c r="S532" s="281">
        <f t="shared" si="133"/>
        <v>0</v>
      </c>
      <c r="T532" s="281">
        <f t="shared" si="133"/>
        <v>0</v>
      </c>
      <c r="U532" s="282">
        <f>+Gastos!U389</f>
        <v>0</v>
      </c>
      <c r="V532" s="280">
        <f t="shared" si="121"/>
        <v>0</v>
      </c>
      <c r="W532" s="281">
        <f>SUM(W533+W537+W538+W539)</f>
        <v>0</v>
      </c>
      <c r="X532" s="188">
        <f>+Gastos!X389</f>
        <v>0</v>
      </c>
    </row>
    <row r="533" spans="1:24" ht="12.75" customHeight="1" hidden="1">
      <c r="A533" s="16"/>
      <c r="B533" s="263">
        <v>30</v>
      </c>
      <c r="C533" s="29" t="s">
        <v>12</v>
      </c>
      <c r="D533" s="267"/>
      <c r="E533" s="69"/>
      <c r="F533" s="44"/>
      <c r="G533" s="39" t="s">
        <v>456</v>
      </c>
      <c r="H533" s="19">
        <f>SUM(H534:H536)</f>
        <v>0</v>
      </c>
      <c r="I533" s="37">
        <f aca="true" t="shared" si="134" ref="I533:T533">SUM(I534:I536)</f>
        <v>0</v>
      </c>
      <c r="J533" s="37">
        <f t="shared" si="134"/>
        <v>0</v>
      </c>
      <c r="K533" s="37">
        <f t="shared" si="134"/>
        <v>0</v>
      </c>
      <c r="L533" s="37">
        <f t="shared" si="134"/>
        <v>0</v>
      </c>
      <c r="M533" s="37">
        <f t="shared" si="134"/>
        <v>0</v>
      </c>
      <c r="N533" s="37">
        <f t="shared" si="134"/>
        <v>0</v>
      </c>
      <c r="O533" s="37">
        <f t="shared" si="134"/>
        <v>0</v>
      </c>
      <c r="P533" s="37">
        <f t="shared" si="134"/>
        <v>0</v>
      </c>
      <c r="Q533" s="37">
        <f t="shared" si="134"/>
        <v>0</v>
      </c>
      <c r="R533" s="37">
        <f t="shared" si="134"/>
        <v>0</v>
      </c>
      <c r="S533" s="37">
        <f t="shared" si="134"/>
        <v>0</v>
      </c>
      <c r="T533" s="37">
        <f t="shared" si="134"/>
        <v>0</v>
      </c>
      <c r="U533" s="38">
        <f>+Gastos!U390</f>
        <v>0</v>
      </c>
      <c r="V533" s="19">
        <f t="shared" si="121"/>
        <v>0</v>
      </c>
      <c r="W533" s="37">
        <f>SUM(W534:W536)</f>
        <v>0</v>
      </c>
      <c r="X533" s="65">
        <v>0</v>
      </c>
    </row>
    <row r="534" spans="1:24" ht="12.75" customHeight="1" hidden="1">
      <c r="A534" s="16"/>
      <c r="B534" s="263">
        <v>30</v>
      </c>
      <c r="C534" s="29" t="s">
        <v>12</v>
      </c>
      <c r="D534" s="22" t="s">
        <v>14</v>
      </c>
      <c r="E534" s="69"/>
      <c r="F534" s="44"/>
      <c r="G534" s="39" t="s">
        <v>125</v>
      </c>
      <c r="H534" s="20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6">
        <f>SUM(I534:T534)</f>
        <v>0</v>
      </c>
      <c r="V534" s="20">
        <f t="shared" si="121"/>
        <v>0</v>
      </c>
      <c r="W534" s="35"/>
      <c r="X534" s="65" t="e">
        <f t="shared" si="120"/>
        <v>#DIV/0!</v>
      </c>
    </row>
    <row r="535" spans="1:24" ht="12.75" customHeight="1" hidden="1">
      <c r="A535" s="16"/>
      <c r="B535" s="263">
        <v>30</v>
      </c>
      <c r="C535" s="29" t="s">
        <v>12</v>
      </c>
      <c r="D535" s="22" t="s">
        <v>22</v>
      </c>
      <c r="E535" s="69"/>
      <c r="F535" s="44"/>
      <c r="G535" s="39" t="s">
        <v>126</v>
      </c>
      <c r="H535" s="20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6">
        <f>SUM(I535:T535)</f>
        <v>0</v>
      </c>
      <c r="V535" s="20">
        <f t="shared" si="121"/>
        <v>0</v>
      </c>
      <c r="W535" s="35"/>
      <c r="X535" s="65" t="e">
        <f t="shared" si="120"/>
        <v>#DIV/0!</v>
      </c>
    </row>
    <row r="536" spans="1:24" ht="12.75" customHeight="1" hidden="1">
      <c r="A536" s="16"/>
      <c r="B536" s="263">
        <v>30</v>
      </c>
      <c r="C536" s="29" t="s">
        <v>12</v>
      </c>
      <c r="D536" s="22" t="s">
        <v>30</v>
      </c>
      <c r="E536" s="69"/>
      <c r="F536" s="44"/>
      <c r="G536" s="39" t="s">
        <v>31</v>
      </c>
      <c r="H536" s="20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6">
        <f>SUM(I536:T536)</f>
        <v>0</v>
      </c>
      <c r="V536" s="20">
        <f t="shared" si="121"/>
        <v>0</v>
      </c>
      <c r="W536" s="35"/>
      <c r="X536" s="65" t="e">
        <f t="shared" si="120"/>
        <v>#DIV/0!</v>
      </c>
    </row>
    <row r="537" spans="1:24" ht="12.75" customHeight="1" hidden="1">
      <c r="A537" s="16"/>
      <c r="B537" s="263">
        <v>30</v>
      </c>
      <c r="C537" s="29" t="s">
        <v>35</v>
      </c>
      <c r="D537" s="267"/>
      <c r="E537" s="69"/>
      <c r="F537" s="44"/>
      <c r="G537" s="39" t="s">
        <v>457</v>
      </c>
      <c r="H537" s="20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6">
        <f>+Gastos!U394</f>
        <v>0</v>
      </c>
      <c r="V537" s="20">
        <f t="shared" si="121"/>
        <v>0</v>
      </c>
      <c r="W537" s="35"/>
      <c r="X537" s="65">
        <v>0</v>
      </c>
    </row>
    <row r="538" spans="1:24" ht="12.75" customHeight="1" hidden="1">
      <c r="A538" s="16"/>
      <c r="B538" s="263">
        <v>30</v>
      </c>
      <c r="C538" s="29" t="s">
        <v>10</v>
      </c>
      <c r="D538" s="22"/>
      <c r="E538" s="69"/>
      <c r="F538" s="44"/>
      <c r="G538" s="39" t="s">
        <v>458</v>
      </c>
      <c r="H538" s="20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6">
        <f>+Gastos!U395</f>
        <v>0</v>
      </c>
      <c r="V538" s="20">
        <f t="shared" si="121"/>
        <v>0</v>
      </c>
      <c r="W538" s="35"/>
      <c r="X538" s="65">
        <v>0</v>
      </c>
    </row>
    <row r="539" spans="1:24" ht="12.75" customHeight="1" hidden="1">
      <c r="A539" s="16"/>
      <c r="B539" s="263">
        <v>30</v>
      </c>
      <c r="C539" s="29" t="s">
        <v>40</v>
      </c>
      <c r="D539" s="22"/>
      <c r="E539" s="69"/>
      <c r="F539" s="44"/>
      <c r="G539" s="39" t="s">
        <v>129</v>
      </c>
      <c r="H539" s="20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6">
        <f>+Gastos!U396</f>
        <v>0</v>
      </c>
      <c r="V539" s="20">
        <f t="shared" si="121"/>
        <v>0</v>
      </c>
      <c r="W539" s="35"/>
      <c r="X539" s="65">
        <v>0</v>
      </c>
    </row>
    <row r="540" spans="1:24" ht="12.75" hidden="1">
      <c r="A540" s="16"/>
      <c r="B540" s="283"/>
      <c r="C540" s="29"/>
      <c r="D540" s="267"/>
      <c r="E540" s="69"/>
      <c r="F540" s="44"/>
      <c r="G540" s="39"/>
      <c r="H540" s="19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8"/>
      <c r="V540" s="19"/>
      <c r="W540" s="37"/>
      <c r="X540" s="65"/>
    </row>
    <row r="541" spans="1:24" ht="12.75">
      <c r="A541" s="16"/>
      <c r="B541" s="288">
        <v>31</v>
      </c>
      <c r="C541" s="274"/>
      <c r="D541" s="285"/>
      <c r="E541" s="284"/>
      <c r="F541" s="286"/>
      <c r="G541" s="275" t="s">
        <v>459</v>
      </c>
      <c r="H541" s="280">
        <f>SUM(H542+H545+H554)</f>
        <v>5952014000</v>
      </c>
      <c r="I541" s="281">
        <f aca="true" t="shared" si="135" ref="I541:T541">SUM(I542+I545+I554)</f>
        <v>140581071</v>
      </c>
      <c r="J541" s="281">
        <f t="shared" si="135"/>
        <v>191220367</v>
      </c>
      <c r="K541" s="281">
        <f t="shared" si="135"/>
        <v>192800095</v>
      </c>
      <c r="L541" s="281">
        <f t="shared" si="135"/>
        <v>187008440</v>
      </c>
      <c r="M541" s="281">
        <f t="shared" si="135"/>
        <v>120246174</v>
      </c>
      <c r="N541" s="281">
        <f t="shared" si="135"/>
        <v>65400016</v>
      </c>
      <c r="O541" s="281">
        <f t="shared" si="135"/>
        <v>257500996</v>
      </c>
      <c r="P541" s="281">
        <f t="shared" si="135"/>
        <v>290777771</v>
      </c>
      <c r="Q541" s="281">
        <f t="shared" si="135"/>
        <v>236330584</v>
      </c>
      <c r="R541" s="281">
        <f t="shared" si="135"/>
        <v>0</v>
      </c>
      <c r="S541" s="281">
        <f t="shared" si="135"/>
        <v>0</v>
      </c>
      <c r="T541" s="281">
        <f t="shared" si="135"/>
        <v>0</v>
      </c>
      <c r="U541" s="282">
        <f>+Gastos!U398</f>
        <v>1681865514</v>
      </c>
      <c r="V541" s="280">
        <f t="shared" si="121"/>
        <v>4270148486</v>
      </c>
      <c r="W541" s="281">
        <f>SUM(W542+W545+W554)</f>
        <v>14993976</v>
      </c>
      <c r="X541" s="188">
        <f>+Gastos!X398</f>
        <v>28.25708262782984</v>
      </c>
    </row>
    <row r="542" spans="1:24" ht="12.75">
      <c r="A542" s="16"/>
      <c r="B542" s="263">
        <v>31</v>
      </c>
      <c r="C542" s="29" t="s">
        <v>12</v>
      </c>
      <c r="D542" s="267"/>
      <c r="E542" s="69"/>
      <c r="F542" s="44"/>
      <c r="G542" s="39" t="s">
        <v>460</v>
      </c>
      <c r="H542" s="19">
        <f>+Gastos!H399</f>
        <v>290795000</v>
      </c>
      <c r="I542" s="37">
        <f>+Gastos!I399</f>
        <v>4200000</v>
      </c>
      <c r="J542" s="37">
        <f>+Gastos!J399</f>
        <v>2684211</v>
      </c>
      <c r="K542" s="37">
        <f>+Gastos!K399</f>
        <v>0</v>
      </c>
      <c r="L542" s="37">
        <f>+Gastos!L399</f>
        <v>0</v>
      </c>
      <c r="M542" s="37">
        <f>+Gastos!M399</f>
        <v>4950000</v>
      </c>
      <c r="N542" s="37">
        <f>+Gastos!N399</f>
        <v>0</v>
      </c>
      <c r="O542" s="37">
        <f>+Gastos!O399</f>
        <v>0</v>
      </c>
      <c r="P542" s="37">
        <f>+Gastos!P399</f>
        <v>2100000</v>
      </c>
      <c r="Q542" s="37">
        <f>+Gastos!Q399</f>
        <v>0</v>
      </c>
      <c r="R542" s="37">
        <f>+Gastos!R399</f>
        <v>0</v>
      </c>
      <c r="S542" s="37">
        <f>+Gastos!S399</f>
        <v>0</v>
      </c>
      <c r="T542" s="37">
        <f>+Gastos!T399</f>
        <v>0</v>
      </c>
      <c r="U542" s="38">
        <f>+Gastos!U399</f>
        <v>13934211</v>
      </c>
      <c r="V542" s="19">
        <f aca="true" t="shared" si="136" ref="V542:V581">H542-U542</f>
        <v>276860789</v>
      </c>
      <c r="W542" s="37">
        <f>+Gastos!W399</f>
        <v>0</v>
      </c>
      <c r="X542" s="65">
        <f>+Gastos!X399</f>
        <v>4.791764301311921</v>
      </c>
    </row>
    <row r="543" spans="1:24" ht="12.75" customHeight="1" hidden="1">
      <c r="A543" s="16"/>
      <c r="B543" s="263">
        <v>31</v>
      </c>
      <c r="C543" s="29" t="s">
        <v>12</v>
      </c>
      <c r="D543" s="22" t="s">
        <v>14</v>
      </c>
      <c r="E543" s="69"/>
      <c r="F543" s="44"/>
      <c r="G543" s="39" t="s">
        <v>461</v>
      </c>
      <c r="H543" s="20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6">
        <f aca="true" t="shared" si="137" ref="U543:U557">SUM(I543:T543)</f>
        <v>0</v>
      </c>
      <c r="V543" s="20">
        <f t="shared" si="136"/>
        <v>0</v>
      </c>
      <c r="W543" s="35"/>
      <c r="X543" s="65" t="e">
        <f aca="true" t="shared" si="138" ref="X543:X578">SUM(V543/I543)*100</f>
        <v>#DIV/0!</v>
      </c>
    </row>
    <row r="544" spans="1:24" ht="12.75" customHeight="1" hidden="1">
      <c r="A544" s="16"/>
      <c r="B544" s="263">
        <v>31</v>
      </c>
      <c r="C544" s="29" t="s">
        <v>12</v>
      </c>
      <c r="D544" s="22" t="s">
        <v>17</v>
      </c>
      <c r="E544" s="69"/>
      <c r="F544" s="44"/>
      <c r="G544" s="39" t="s">
        <v>462</v>
      </c>
      <c r="H544" s="20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6">
        <f t="shared" si="137"/>
        <v>0</v>
      </c>
      <c r="V544" s="20">
        <f t="shared" si="136"/>
        <v>0</v>
      </c>
      <c r="W544" s="35"/>
      <c r="X544" s="65" t="e">
        <f t="shared" si="138"/>
        <v>#DIV/0!</v>
      </c>
    </row>
    <row r="545" spans="1:24" ht="12.75">
      <c r="A545" s="16"/>
      <c r="B545" s="263">
        <v>31</v>
      </c>
      <c r="C545" s="29" t="s">
        <v>35</v>
      </c>
      <c r="D545" s="267"/>
      <c r="E545" s="69"/>
      <c r="F545" s="44"/>
      <c r="G545" s="39" t="s">
        <v>463</v>
      </c>
      <c r="H545" s="19">
        <f>+Gastos!H402</f>
        <v>5661219000</v>
      </c>
      <c r="I545" s="37">
        <f>+Gastos!I402</f>
        <v>136381071</v>
      </c>
      <c r="J545" s="37">
        <f>+Gastos!J402</f>
        <v>188536156</v>
      </c>
      <c r="K545" s="37">
        <f>+Gastos!K402</f>
        <v>192800095</v>
      </c>
      <c r="L545" s="37">
        <f>+Gastos!L402</f>
        <v>187008440</v>
      </c>
      <c r="M545" s="37">
        <f>+Gastos!M402</f>
        <v>115296174</v>
      </c>
      <c r="N545" s="37">
        <f>+Gastos!N402</f>
        <v>65400016</v>
      </c>
      <c r="O545" s="37">
        <f>+Gastos!O402</f>
        <v>257500996</v>
      </c>
      <c r="P545" s="37">
        <f>+Gastos!P402</f>
        <v>288677771</v>
      </c>
      <c r="Q545" s="37">
        <f>+Gastos!Q402</f>
        <v>236330584</v>
      </c>
      <c r="R545" s="37">
        <f>+Gastos!R402</f>
        <v>0</v>
      </c>
      <c r="S545" s="37">
        <f>+Gastos!S402</f>
        <v>0</v>
      </c>
      <c r="T545" s="37">
        <f>+Gastos!T402</f>
        <v>0</v>
      </c>
      <c r="U545" s="38">
        <f>+Gastos!U402</f>
        <v>1667931303</v>
      </c>
      <c r="V545" s="19">
        <f t="shared" si="136"/>
        <v>3993287697</v>
      </c>
      <c r="W545" s="37">
        <f>+Gastos!W402</f>
        <v>14993976</v>
      </c>
      <c r="X545" s="65">
        <f>+Gastos!X402</f>
        <v>29.462405587913132</v>
      </c>
    </row>
    <row r="546" spans="1:24" ht="12.75" customHeight="1" hidden="1">
      <c r="A546" s="16"/>
      <c r="B546" s="263">
        <v>31</v>
      </c>
      <c r="C546" s="29" t="s">
        <v>35</v>
      </c>
      <c r="D546" s="22" t="s">
        <v>14</v>
      </c>
      <c r="E546" s="69"/>
      <c r="F546" s="44"/>
      <c r="G546" s="39" t="s">
        <v>461</v>
      </c>
      <c r="H546" s="20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6">
        <f t="shared" si="137"/>
        <v>0</v>
      </c>
      <c r="V546" s="20">
        <f t="shared" si="136"/>
        <v>0</v>
      </c>
      <c r="W546" s="35"/>
      <c r="X546" s="65" t="e">
        <f t="shared" si="138"/>
        <v>#DIV/0!</v>
      </c>
    </row>
    <row r="547" spans="1:24" ht="12.75" customHeight="1" hidden="1">
      <c r="A547" s="16"/>
      <c r="B547" s="263">
        <v>31</v>
      </c>
      <c r="C547" s="29" t="s">
        <v>35</v>
      </c>
      <c r="D547" s="22" t="s">
        <v>17</v>
      </c>
      <c r="E547" s="69"/>
      <c r="F547" s="44"/>
      <c r="G547" s="39" t="s">
        <v>462</v>
      </c>
      <c r="H547" s="20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6">
        <f t="shared" si="137"/>
        <v>0</v>
      </c>
      <c r="V547" s="20">
        <f t="shared" si="136"/>
        <v>0</v>
      </c>
      <c r="W547" s="35"/>
      <c r="X547" s="65" t="e">
        <f t="shared" si="138"/>
        <v>#DIV/0!</v>
      </c>
    </row>
    <row r="548" spans="1:24" ht="12.75" customHeight="1" hidden="1">
      <c r="A548" s="16"/>
      <c r="B548" s="263">
        <v>31</v>
      </c>
      <c r="C548" s="29" t="s">
        <v>35</v>
      </c>
      <c r="D548" s="22" t="s">
        <v>22</v>
      </c>
      <c r="E548" s="69"/>
      <c r="F548" s="44"/>
      <c r="G548" s="39" t="s">
        <v>464</v>
      </c>
      <c r="H548" s="20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6">
        <f t="shared" si="137"/>
        <v>0</v>
      </c>
      <c r="V548" s="20">
        <f t="shared" si="136"/>
        <v>0</v>
      </c>
      <c r="W548" s="35"/>
      <c r="X548" s="65" t="e">
        <f t="shared" si="138"/>
        <v>#DIV/0!</v>
      </c>
    </row>
    <row r="549" spans="1:24" ht="12.75" customHeight="1" hidden="1">
      <c r="A549" s="16"/>
      <c r="B549" s="263">
        <v>31</v>
      </c>
      <c r="C549" s="29" t="s">
        <v>35</v>
      </c>
      <c r="D549" s="22" t="s">
        <v>28</v>
      </c>
      <c r="E549" s="69"/>
      <c r="F549" s="44"/>
      <c r="G549" s="39" t="s">
        <v>465</v>
      </c>
      <c r="H549" s="20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6">
        <f t="shared" si="137"/>
        <v>0</v>
      </c>
      <c r="V549" s="20">
        <f t="shared" si="136"/>
        <v>0</v>
      </c>
      <c r="W549" s="35"/>
      <c r="X549" s="65" t="e">
        <f t="shared" si="138"/>
        <v>#DIV/0!</v>
      </c>
    </row>
    <row r="550" spans="1:24" ht="12.75" customHeight="1" hidden="1">
      <c r="A550" s="16"/>
      <c r="B550" s="263">
        <v>31</v>
      </c>
      <c r="C550" s="29" t="s">
        <v>35</v>
      </c>
      <c r="D550" s="22" t="s">
        <v>54</v>
      </c>
      <c r="E550" s="69"/>
      <c r="F550" s="44"/>
      <c r="G550" s="39" t="s">
        <v>466</v>
      </c>
      <c r="H550" s="20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6">
        <f t="shared" si="137"/>
        <v>0</v>
      </c>
      <c r="V550" s="20">
        <f t="shared" si="136"/>
        <v>0</v>
      </c>
      <c r="W550" s="35"/>
      <c r="X550" s="65" t="e">
        <f t="shared" si="138"/>
        <v>#DIV/0!</v>
      </c>
    </row>
    <row r="551" spans="1:24" ht="12.75" customHeight="1" hidden="1">
      <c r="A551" s="16"/>
      <c r="B551" s="263">
        <v>31</v>
      </c>
      <c r="C551" s="29" t="s">
        <v>35</v>
      </c>
      <c r="D551" s="22" t="s">
        <v>57</v>
      </c>
      <c r="E551" s="69"/>
      <c r="F551" s="44"/>
      <c r="G551" s="39" t="s">
        <v>467</v>
      </c>
      <c r="H551" s="20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6">
        <f t="shared" si="137"/>
        <v>0</v>
      </c>
      <c r="V551" s="20">
        <f t="shared" si="136"/>
        <v>0</v>
      </c>
      <c r="W551" s="35"/>
      <c r="X551" s="65" t="e">
        <f t="shared" si="138"/>
        <v>#DIV/0!</v>
      </c>
    </row>
    <row r="552" spans="1:24" ht="12.75" customHeight="1" hidden="1">
      <c r="A552" s="16"/>
      <c r="B552" s="263">
        <v>31</v>
      </c>
      <c r="C552" s="29" t="s">
        <v>35</v>
      </c>
      <c r="D552" s="22" t="s">
        <v>61</v>
      </c>
      <c r="E552" s="69"/>
      <c r="F552" s="44"/>
      <c r="G552" s="39" t="s">
        <v>468</v>
      </c>
      <c r="H552" s="20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6">
        <f t="shared" si="137"/>
        <v>0</v>
      </c>
      <c r="V552" s="20">
        <f t="shared" si="136"/>
        <v>0</v>
      </c>
      <c r="W552" s="35"/>
      <c r="X552" s="65" t="e">
        <f t="shared" si="138"/>
        <v>#DIV/0!</v>
      </c>
    </row>
    <row r="553" spans="1:24" ht="12.75" customHeight="1" hidden="1">
      <c r="A553" s="16"/>
      <c r="B553" s="263">
        <v>31</v>
      </c>
      <c r="C553" s="29" t="s">
        <v>35</v>
      </c>
      <c r="D553" s="22" t="s">
        <v>30</v>
      </c>
      <c r="E553" s="69"/>
      <c r="F553" s="44"/>
      <c r="G553" s="39" t="s">
        <v>469</v>
      </c>
      <c r="H553" s="20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6">
        <f t="shared" si="137"/>
        <v>0</v>
      </c>
      <c r="V553" s="20">
        <f t="shared" si="136"/>
        <v>0</v>
      </c>
      <c r="W553" s="35"/>
      <c r="X553" s="65" t="e">
        <f t="shared" si="138"/>
        <v>#DIV/0!</v>
      </c>
    </row>
    <row r="554" spans="1:24" ht="12.75" customHeight="1" hidden="1">
      <c r="A554" s="16"/>
      <c r="B554" s="263">
        <v>31</v>
      </c>
      <c r="C554" s="29" t="s">
        <v>10</v>
      </c>
      <c r="D554" s="267"/>
      <c r="E554" s="69"/>
      <c r="F554" s="44"/>
      <c r="G554" s="39" t="s">
        <v>470</v>
      </c>
      <c r="H554" s="19">
        <f>+Gastos!H411</f>
        <v>0</v>
      </c>
      <c r="I554" s="37">
        <f>+Gastos!I411</f>
        <v>0</v>
      </c>
      <c r="J554" s="37">
        <f>+Gastos!J411</f>
        <v>0</v>
      </c>
      <c r="K554" s="37">
        <f>+Gastos!K411</f>
        <v>0</v>
      </c>
      <c r="L554" s="37">
        <f>+Gastos!L411</f>
        <v>0</v>
      </c>
      <c r="M554" s="37">
        <f>+Gastos!M411</f>
        <v>0</v>
      </c>
      <c r="N554" s="37">
        <f>+Gastos!N411</f>
        <v>0</v>
      </c>
      <c r="O554" s="37">
        <f>+Gastos!O411</f>
        <v>0</v>
      </c>
      <c r="P554" s="37">
        <f>+Gastos!P411</f>
        <v>0</v>
      </c>
      <c r="Q554" s="37">
        <f>+Gastos!Q411</f>
        <v>0</v>
      </c>
      <c r="R554" s="37">
        <f>+Gastos!R411</f>
        <v>0</v>
      </c>
      <c r="S554" s="37">
        <f>+Gastos!S411</f>
        <v>0</v>
      </c>
      <c r="T554" s="37">
        <f>+Gastos!T411</f>
        <v>0</v>
      </c>
      <c r="U554" s="38">
        <f>+Gastos!U411</f>
        <v>0</v>
      </c>
      <c r="V554" s="19">
        <f t="shared" si="136"/>
        <v>0</v>
      </c>
      <c r="W554" s="37">
        <f>+Gastos!W411</f>
        <v>0</v>
      </c>
      <c r="X554" s="65">
        <f>+Gastos!X411</f>
        <v>0</v>
      </c>
    </row>
    <row r="555" spans="1:24" ht="12.75" customHeight="1" hidden="1">
      <c r="A555" s="16"/>
      <c r="B555" s="263">
        <v>31</v>
      </c>
      <c r="C555" s="29" t="s">
        <v>10</v>
      </c>
      <c r="D555" s="22" t="s">
        <v>14</v>
      </c>
      <c r="E555" s="69"/>
      <c r="F555" s="44"/>
      <c r="G555" s="39" t="s">
        <v>461</v>
      </c>
      <c r="H555" s="20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6">
        <f t="shared" si="137"/>
        <v>0</v>
      </c>
      <c r="V555" s="20">
        <f t="shared" si="136"/>
        <v>0</v>
      </c>
      <c r="W555" s="35"/>
      <c r="X555" s="65" t="e">
        <f t="shared" si="138"/>
        <v>#DIV/0!</v>
      </c>
    </row>
    <row r="556" spans="1:24" ht="12.75" customHeight="1" hidden="1">
      <c r="A556" s="16"/>
      <c r="B556" s="263">
        <v>31</v>
      </c>
      <c r="C556" s="29" t="s">
        <v>10</v>
      </c>
      <c r="D556" s="22" t="s">
        <v>17</v>
      </c>
      <c r="E556" s="69"/>
      <c r="F556" s="44"/>
      <c r="G556" s="39" t="s">
        <v>462</v>
      </c>
      <c r="H556" s="20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6">
        <f t="shared" si="137"/>
        <v>0</v>
      </c>
      <c r="V556" s="20">
        <f t="shared" si="136"/>
        <v>0</v>
      </c>
      <c r="W556" s="35"/>
      <c r="X556" s="65" t="e">
        <f t="shared" si="138"/>
        <v>#DIV/0!</v>
      </c>
    </row>
    <row r="557" spans="1:24" ht="12.75" customHeight="1" hidden="1">
      <c r="A557" s="16"/>
      <c r="B557" s="263">
        <v>31</v>
      </c>
      <c r="C557" s="29" t="s">
        <v>10</v>
      </c>
      <c r="D557" s="22" t="s">
        <v>22</v>
      </c>
      <c r="E557" s="69"/>
      <c r="F557" s="44"/>
      <c r="G557" s="39" t="s">
        <v>471</v>
      </c>
      <c r="H557" s="20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6">
        <f t="shared" si="137"/>
        <v>0</v>
      </c>
      <c r="V557" s="20">
        <f t="shared" si="136"/>
        <v>0</v>
      </c>
      <c r="W557" s="35"/>
      <c r="X557" s="65" t="e">
        <f t="shared" si="138"/>
        <v>#DIV/0!</v>
      </c>
    </row>
    <row r="558" spans="1:24" ht="12.75">
      <c r="A558" s="16"/>
      <c r="B558" s="283"/>
      <c r="C558" s="69"/>
      <c r="D558" s="22"/>
      <c r="E558" s="69"/>
      <c r="F558" s="44"/>
      <c r="G558" s="39"/>
      <c r="H558" s="19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6"/>
      <c r="V558" s="19"/>
      <c r="W558" s="37"/>
      <c r="X558" s="65"/>
    </row>
    <row r="559" spans="1:24" ht="12.75">
      <c r="A559" s="16"/>
      <c r="B559" s="288">
        <v>32</v>
      </c>
      <c r="C559" s="274"/>
      <c r="D559" s="285"/>
      <c r="E559" s="284"/>
      <c r="F559" s="286"/>
      <c r="G559" s="275" t="s">
        <v>472</v>
      </c>
      <c r="H559" s="280">
        <f>SUM(H560:H563)</f>
        <v>0</v>
      </c>
      <c r="I559" s="281">
        <f aca="true" t="shared" si="139" ref="I559:T559">SUM(I560:I563)</f>
        <v>0</v>
      </c>
      <c r="J559" s="281">
        <f t="shared" si="139"/>
        <v>-17546777</v>
      </c>
      <c r="K559" s="281">
        <f t="shared" si="139"/>
        <v>-79241611</v>
      </c>
      <c r="L559" s="281">
        <f t="shared" si="139"/>
        <v>96788388</v>
      </c>
      <c r="M559" s="281">
        <f t="shared" si="139"/>
        <v>0</v>
      </c>
      <c r="N559" s="281">
        <f t="shared" si="139"/>
        <v>0</v>
      </c>
      <c r="O559" s="281">
        <f t="shared" si="139"/>
        <v>0</v>
      </c>
      <c r="P559" s="281">
        <f t="shared" si="139"/>
        <v>0</v>
      </c>
      <c r="Q559" s="281">
        <f t="shared" si="139"/>
        <v>0</v>
      </c>
      <c r="R559" s="281">
        <f t="shared" si="139"/>
        <v>0</v>
      </c>
      <c r="S559" s="281">
        <f t="shared" si="139"/>
        <v>0</v>
      </c>
      <c r="T559" s="281">
        <f t="shared" si="139"/>
        <v>0</v>
      </c>
      <c r="U559" s="282">
        <f>+Gastos!U416</f>
        <v>0</v>
      </c>
      <c r="V559" s="280">
        <f t="shared" si="136"/>
        <v>0</v>
      </c>
      <c r="W559" s="281">
        <f>SUM(W560:W563)</f>
        <v>0</v>
      </c>
      <c r="X559" s="188">
        <f>+Gastos!X416</f>
        <v>0</v>
      </c>
    </row>
    <row r="560" spans="1:24" ht="12.75" customHeight="1" hidden="1">
      <c r="A560" s="16"/>
      <c r="B560" s="263">
        <v>32</v>
      </c>
      <c r="C560" s="29" t="s">
        <v>35</v>
      </c>
      <c r="D560" s="22"/>
      <c r="E560" s="69"/>
      <c r="F560" s="44"/>
      <c r="G560" s="39" t="s">
        <v>132</v>
      </c>
      <c r="H560" s="20"/>
      <c r="I560" s="35">
        <f>+Gastos!I417</f>
        <v>0</v>
      </c>
      <c r="J560" s="35">
        <f>+Gastos!J417</f>
        <v>0</v>
      </c>
      <c r="K560" s="35">
        <f>+Gastos!K417</f>
        <v>0</v>
      </c>
      <c r="L560" s="35">
        <f>+Gastos!L417</f>
        <v>0</v>
      </c>
      <c r="M560" s="35">
        <f>+Gastos!M417</f>
        <v>0</v>
      </c>
      <c r="N560" s="35">
        <f>+Gastos!N417</f>
        <v>0</v>
      </c>
      <c r="O560" s="35">
        <f>+Gastos!O417</f>
        <v>0</v>
      </c>
      <c r="P560" s="35">
        <f>+Gastos!P417</f>
        <v>0</v>
      </c>
      <c r="Q560" s="35">
        <f>+Gastos!Q417</f>
        <v>0</v>
      </c>
      <c r="R560" s="35">
        <f>+Gastos!R417</f>
        <v>0</v>
      </c>
      <c r="S560" s="35">
        <f>+Gastos!S417</f>
        <v>0</v>
      </c>
      <c r="T560" s="35">
        <f>+Gastos!T417</f>
        <v>0</v>
      </c>
      <c r="U560" s="36">
        <f>+Gastos!U417</f>
        <v>0</v>
      </c>
      <c r="V560" s="20">
        <f t="shared" si="136"/>
        <v>0</v>
      </c>
      <c r="W560" s="35">
        <f>+Gastos!W417</f>
        <v>0</v>
      </c>
      <c r="X560" s="65">
        <v>0</v>
      </c>
    </row>
    <row r="561" spans="1:24" ht="12.75" customHeight="1">
      <c r="A561" s="16"/>
      <c r="B561" s="263">
        <v>32</v>
      </c>
      <c r="C561" s="29" t="s">
        <v>76</v>
      </c>
      <c r="D561" s="267"/>
      <c r="E561" s="69"/>
      <c r="F561" s="44"/>
      <c r="G561" s="39" t="s">
        <v>133</v>
      </c>
      <c r="H561" s="19">
        <f>+Gastos!H418</f>
        <v>0</v>
      </c>
      <c r="I561" s="35">
        <f>+Gastos!I418</f>
        <v>0</v>
      </c>
      <c r="J561" s="35">
        <f>+Gastos!J418</f>
        <v>-17546777</v>
      </c>
      <c r="K561" s="35">
        <f>+Gastos!K418</f>
        <v>-79241611</v>
      </c>
      <c r="L561" s="35">
        <f>+Gastos!L418</f>
        <v>96788388</v>
      </c>
      <c r="M561" s="35">
        <f>+Gastos!M418</f>
        <v>0</v>
      </c>
      <c r="N561" s="35">
        <f>+Gastos!N418</f>
        <v>0</v>
      </c>
      <c r="O561" s="35">
        <f>+Gastos!O418</f>
        <v>0</v>
      </c>
      <c r="P561" s="35">
        <f>+Gastos!P418</f>
        <v>0</v>
      </c>
      <c r="Q561" s="35">
        <f>+Gastos!Q418</f>
        <v>0</v>
      </c>
      <c r="R561" s="35">
        <f>+Gastos!R418</f>
        <v>0</v>
      </c>
      <c r="S561" s="35">
        <f>+Gastos!S418</f>
        <v>0</v>
      </c>
      <c r="T561" s="35">
        <f>+Gastos!T418</f>
        <v>0</v>
      </c>
      <c r="U561" s="36">
        <f>+Gastos!U418</f>
        <v>0</v>
      </c>
      <c r="V561" s="20">
        <f t="shared" si="136"/>
        <v>0</v>
      </c>
      <c r="W561" s="35">
        <f>+Gastos!W418</f>
        <v>0</v>
      </c>
      <c r="X561" s="65">
        <f>+Gastos!X418</f>
        <v>0</v>
      </c>
    </row>
    <row r="562" spans="1:24" ht="12.75" customHeight="1" hidden="1">
      <c r="A562" s="16"/>
      <c r="B562" s="263">
        <v>32</v>
      </c>
      <c r="C562" s="29" t="s">
        <v>78</v>
      </c>
      <c r="D562" s="267"/>
      <c r="E562" s="69"/>
      <c r="F562" s="44"/>
      <c r="G562" s="39" t="s">
        <v>473</v>
      </c>
      <c r="H562" s="20"/>
      <c r="I562" s="35">
        <f>+Gastos!I419</f>
        <v>0</v>
      </c>
      <c r="J562" s="35">
        <f>+Gastos!J419</f>
        <v>0</v>
      </c>
      <c r="K562" s="35">
        <f>+Gastos!K419</f>
        <v>0</v>
      </c>
      <c r="L562" s="35">
        <f>+Gastos!L419</f>
        <v>0</v>
      </c>
      <c r="M562" s="35">
        <f>+Gastos!M419</f>
        <v>0</v>
      </c>
      <c r="N562" s="35">
        <f>+Gastos!N419</f>
        <v>0</v>
      </c>
      <c r="O562" s="35">
        <f>+Gastos!O419</f>
        <v>0</v>
      </c>
      <c r="P562" s="35">
        <f>+Gastos!P419</f>
        <v>0</v>
      </c>
      <c r="Q562" s="35">
        <f>+Gastos!Q419</f>
        <v>0</v>
      </c>
      <c r="R562" s="35">
        <f>+Gastos!R419</f>
        <v>0</v>
      </c>
      <c r="S562" s="35">
        <f>+Gastos!S419</f>
        <v>0</v>
      </c>
      <c r="T562" s="35">
        <f>+Gastos!T419</f>
        <v>0</v>
      </c>
      <c r="U562" s="36">
        <f>+Gastos!U419</f>
        <v>0</v>
      </c>
      <c r="V562" s="20">
        <f t="shared" si="136"/>
        <v>0</v>
      </c>
      <c r="W562" s="35">
        <f>+Gastos!W419</f>
        <v>0</v>
      </c>
      <c r="X562" s="65">
        <v>0</v>
      </c>
    </row>
    <row r="563" spans="1:24" ht="12.75" customHeight="1" hidden="1">
      <c r="A563" s="16"/>
      <c r="B563" s="263">
        <v>32</v>
      </c>
      <c r="C563" s="29" t="s">
        <v>40</v>
      </c>
      <c r="D563" s="267"/>
      <c r="E563" s="69"/>
      <c r="F563" s="44"/>
      <c r="G563" s="39" t="s">
        <v>136</v>
      </c>
      <c r="H563" s="20"/>
      <c r="I563" s="35">
        <f>+Gastos!I420</f>
        <v>0</v>
      </c>
      <c r="J563" s="35">
        <f>+Gastos!J420</f>
        <v>0</v>
      </c>
      <c r="K563" s="35">
        <f>+Gastos!K420</f>
        <v>0</v>
      </c>
      <c r="L563" s="35">
        <f>+Gastos!L420</f>
        <v>0</v>
      </c>
      <c r="M563" s="35">
        <f>+Gastos!M420</f>
        <v>0</v>
      </c>
      <c r="N563" s="35">
        <f>+Gastos!N420</f>
        <v>0</v>
      </c>
      <c r="O563" s="35">
        <f>+Gastos!O420</f>
        <v>0</v>
      </c>
      <c r="P563" s="35">
        <f>+Gastos!P420</f>
        <v>0</v>
      </c>
      <c r="Q563" s="35">
        <f>+Gastos!Q420</f>
        <v>0</v>
      </c>
      <c r="R563" s="35">
        <f>+Gastos!R420</f>
        <v>0</v>
      </c>
      <c r="S563" s="35">
        <f>+Gastos!S420</f>
        <v>0</v>
      </c>
      <c r="T563" s="35">
        <f>+Gastos!T420</f>
        <v>0</v>
      </c>
      <c r="U563" s="36">
        <f>+Gastos!U420</f>
        <v>0</v>
      </c>
      <c r="V563" s="20">
        <f t="shared" si="136"/>
        <v>0</v>
      </c>
      <c r="W563" s="35">
        <f>+Gastos!W420</f>
        <v>0</v>
      </c>
      <c r="X563" s="65">
        <v>0</v>
      </c>
    </row>
    <row r="564" spans="1:24" ht="12.75">
      <c r="A564" s="16"/>
      <c r="B564" s="283"/>
      <c r="C564" s="29"/>
      <c r="D564" s="267"/>
      <c r="E564" s="69"/>
      <c r="F564" s="44"/>
      <c r="G564" s="39"/>
      <c r="H564" s="19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8"/>
      <c r="V564" s="19"/>
      <c r="W564" s="37"/>
      <c r="X564" s="65"/>
    </row>
    <row r="565" spans="1:24" ht="12.75">
      <c r="A565" s="16"/>
      <c r="B565" s="273">
        <v>33</v>
      </c>
      <c r="C565" s="284"/>
      <c r="D565" s="285"/>
      <c r="E565" s="289"/>
      <c r="F565" s="286"/>
      <c r="G565" s="275" t="s">
        <v>474</v>
      </c>
      <c r="H565" s="280">
        <f>+Gastos!H422</f>
        <v>40000000</v>
      </c>
      <c r="I565" s="280">
        <f>+Gastos!I422</f>
        <v>0</v>
      </c>
      <c r="J565" s="280">
        <f>+Gastos!J422</f>
        <v>0</v>
      </c>
      <c r="K565" s="280">
        <f>+Gastos!K422</f>
        <v>37920250</v>
      </c>
      <c r="L565" s="280">
        <f>+Gastos!L422</f>
        <v>0</v>
      </c>
      <c r="M565" s="280">
        <f>+Gastos!M422</f>
        <v>0</v>
      </c>
      <c r="N565" s="280">
        <f>+Gastos!N422</f>
        <v>0</v>
      </c>
      <c r="O565" s="281">
        <f aca="true" t="shared" si="140" ref="O565:T565">SUM(O566+O567)</f>
        <v>0</v>
      </c>
      <c r="P565" s="281">
        <f t="shared" si="140"/>
        <v>0</v>
      </c>
      <c r="Q565" s="281">
        <f t="shared" si="140"/>
        <v>0</v>
      </c>
      <c r="R565" s="281">
        <f t="shared" si="140"/>
        <v>0</v>
      </c>
      <c r="S565" s="281">
        <f t="shared" si="140"/>
        <v>0</v>
      </c>
      <c r="T565" s="281">
        <f t="shared" si="140"/>
        <v>0</v>
      </c>
      <c r="U565" s="282">
        <f>+Gastos!U422</f>
        <v>37920250</v>
      </c>
      <c r="V565" s="280">
        <f t="shared" si="136"/>
        <v>2079750</v>
      </c>
      <c r="W565" s="281">
        <f>SUM(W566+W567)</f>
        <v>0</v>
      </c>
      <c r="X565" s="188">
        <f>+Gastos!X422</f>
        <v>94.80062500000001</v>
      </c>
    </row>
    <row r="566" spans="1:24" ht="12.75" hidden="1">
      <c r="A566" s="16"/>
      <c r="B566" s="28">
        <v>33</v>
      </c>
      <c r="C566" s="29" t="s">
        <v>12</v>
      </c>
      <c r="D566" s="267"/>
      <c r="E566" s="69"/>
      <c r="F566" s="44"/>
      <c r="G566" s="39" t="s">
        <v>400</v>
      </c>
      <c r="H566" s="20">
        <f>+Gastos!H423</f>
        <v>0</v>
      </c>
      <c r="I566" s="35">
        <f>+Gastos!I423</f>
        <v>0</v>
      </c>
      <c r="J566" s="35">
        <f>+Gastos!J423</f>
        <v>0</v>
      </c>
      <c r="K566" s="35">
        <f>+Gastos!K423</f>
        <v>0</v>
      </c>
      <c r="L566" s="35">
        <f>+Gastos!L423</f>
        <v>0</v>
      </c>
      <c r="M566" s="35">
        <f>+Gastos!M423</f>
        <v>0</v>
      </c>
      <c r="N566" s="35">
        <f>+Gastos!N423</f>
        <v>0</v>
      </c>
      <c r="O566" s="35">
        <f>+Gastos!O423</f>
        <v>0</v>
      </c>
      <c r="P566" s="35">
        <f>+Gastos!P423</f>
        <v>0</v>
      </c>
      <c r="Q566" s="35">
        <f>+Gastos!Q423</f>
        <v>0</v>
      </c>
      <c r="R566" s="35">
        <f>+Gastos!R423</f>
        <v>0</v>
      </c>
      <c r="S566" s="35">
        <f>+Gastos!S423</f>
        <v>0</v>
      </c>
      <c r="T566" s="35">
        <f>+Gastos!T423</f>
        <v>0</v>
      </c>
      <c r="U566" s="36">
        <f>+Gastos!U423</f>
        <v>0</v>
      </c>
      <c r="V566" s="20">
        <f t="shared" si="136"/>
        <v>0</v>
      </c>
      <c r="W566" s="35">
        <f>+Gastos!W423</f>
        <v>0</v>
      </c>
      <c r="X566" s="65">
        <f>+Gastos!X423</f>
        <v>0</v>
      </c>
    </row>
    <row r="567" spans="1:24" ht="12.75" hidden="1">
      <c r="A567" s="16"/>
      <c r="B567" s="28">
        <v>33</v>
      </c>
      <c r="C567" s="29" t="s">
        <v>10</v>
      </c>
      <c r="D567" s="267"/>
      <c r="E567" s="69"/>
      <c r="F567" s="44"/>
      <c r="G567" s="39" t="s">
        <v>411</v>
      </c>
      <c r="H567" s="19">
        <v>0</v>
      </c>
      <c r="I567" s="37">
        <f>+Gastos!I424</f>
        <v>0</v>
      </c>
      <c r="J567" s="37">
        <f>+Gastos!J424</f>
        <v>0</v>
      </c>
      <c r="K567" s="37">
        <f>+Gastos!K424</f>
        <v>37920250</v>
      </c>
      <c r="L567" s="37">
        <f>+Gastos!L424</f>
        <v>0</v>
      </c>
      <c r="M567" s="37">
        <f>+Gastos!M424</f>
        <v>0</v>
      </c>
      <c r="N567" s="37">
        <f>+Gastos!N424</f>
        <v>0</v>
      </c>
      <c r="O567" s="37">
        <f>+Gastos!O424</f>
        <v>0</v>
      </c>
      <c r="P567" s="37">
        <f>+Gastos!P424</f>
        <v>0</v>
      </c>
      <c r="Q567" s="37">
        <f>+Gastos!Q424</f>
        <v>0</v>
      </c>
      <c r="R567" s="37">
        <f>+Gastos!R424</f>
        <v>0</v>
      </c>
      <c r="S567" s="37">
        <f>+Gastos!S424</f>
        <v>0</v>
      </c>
      <c r="T567" s="37">
        <f>+Gastos!T424</f>
        <v>0</v>
      </c>
      <c r="U567" s="38">
        <f>+Gastos!U424</f>
        <v>37920250</v>
      </c>
      <c r="V567" s="19">
        <f t="shared" si="136"/>
        <v>-37920250</v>
      </c>
      <c r="W567" s="37">
        <f>+Gastos!W424</f>
        <v>0</v>
      </c>
      <c r="X567" s="65">
        <f>+Gastos!X424</f>
        <v>94.80062500000001</v>
      </c>
    </row>
    <row r="568" spans="1:24" ht="12.75" customHeight="1" hidden="1">
      <c r="A568" s="16"/>
      <c r="B568" s="28" t="s">
        <v>475</v>
      </c>
      <c r="C568" s="29" t="s">
        <v>10</v>
      </c>
      <c r="D568" s="22" t="s">
        <v>14</v>
      </c>
      <c r="E568" s="45"/>
      <c r="F568" s="44"/>
      <c r="G568" s="39" t="s">
        <v>476</v>
      </c>
      <c r="H568" s="19">
        <f>SUM(H569:H572)</f>
        <v>0</v>
      </c>
      <c r="I568" s="37">
        <f aca="true" t="shared" si="141" ref="I568:U568">SUM(I569:I572)</f>
        <v>0</v>
      </c>
      <c r="J568" s="37">
        <f t="shared" si="141"/>
        <v>0</v>
      </c>
      <c r="K568" s="37">
        <f t="shared" si="141"/>
        <v>0</v>
      </c>
      <c r="L568" s="37">
        <f t="shared" si="141"/>
        <v>0</v>
      </c>
      <c r="M568" s="37">
        <f t="shared" si="141"/>
        <v>0</v>
      </c>
      <c r="N568" s="37">
        <f t="shared" si="141"/>
        <v>0</v>
      </c>
      <c r="O568" s="37">
        <f t="shared" si="141"/>
        <v>0</v>
      </c>
      <c r="P568" s="37">
        <f t="shared" si="141"/>
        <v>0</v>
      </c>
      <c r="Q568" s="37">
        <f t="shared" si="141"/>
        <v>0</v>
      </c>
      <c r="R568" s="37">
        <f t="shared" si="141"/>
        <v>0</v>
      </c>
      <c r="S568" s="37">
        <f t="shared" si="141"/>
        <v>0</v>
      </c>
      <c r="T568" s="37">
        <f t="shared" si="141"/>
        <v>0</v>
      </c>
      <c r="U568" s="38">
        <f t="shared" si="141"/>
        <v>0</v>
      </c>
      <c r="V568" s="19">
        <f t="shared" si="136"/>
        <v>0</v>
      </c>
      <c r="W568" s="37">
        <f>SUM(W569:W572)</f>
        <v>0</v>
      </c>
      <c r="X568" s="65" t="e">
        <f t="shared" si="138"/>
        <v>#DIV/0!</v>
      </c>
    </row>
    <row r="569" spans="1:24" ht="12.75" customHeight="1" hidden="1">
      <c r="A569" s="16"/>
      <c r="B569" s="28"/>
      <c r="C569" s="29"/>
      <c r="D569" s="22"/>
      <c r="E569" s="29" t="s">
        <v>14</v>
      </c>
      <c r="F569" s="44"/>
      <c r="G569" s="39" t="s">
        <v>477</v>
      </c>
      <c r="H569" s="20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6">
        <f>SUM(I569:T569)</f>
        <v>0</v>
      </c>
      <c r="V569" s="20">
        <f t="shared" si="136"/>
        <v>0</v>
      </c>
      <c r="W569" s="35"/>
      <c r="X569" s="65" t="e">
        <f t="shared" si="138"/>
        <v>#DIV/0!</v>
      </c>
    </row>
    <row r="570" spans="1:24" ht="12.75" customHeight="1" hidden="1">
      <c r="A570" s="16"/>
      <c r="B570" s="28"/>
      <c r="C570" s="29"/>
      <c r="D570" s="22"/>
      <c r="E570" s="29" t="s">
        <v>17</v>
      </c>
      <c r="F570" s="44"/>
      <c r="G570" s="39" t="s">
        <v>478</v>
      </c>
      <c r="H570" s="20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6">
        <f>SUM(I570:T570)</f>
        <v>0</v>
      </c>
      <c r="V570" s="20">
        <f t="shared" si="136"/>
        <v>0</v>
      </c>
      <c r="W570" s="35"/>
      <c r="X570" s="65" t="e">
        <f t="shared" si="138"/>
        <v>#DIV/0!</v>
      </c>
    </row>
    <row r="571" spans="1:24" ht="12.75" customHeight="1" hidden="1">
      <c r="A571" s="16"/>
      <c r="B571" s="28"/>
      <c r="C571" s="29"/>
      <c r="D571" s="22"/>
      <c r="E571" s="29" t="s">
        <v>22</v>
      </c>
      <c r="F571" s="44"/>
      <c r="G571" s="39" t="s">
        <v>479</v>
      </c>
      <c r="H571" s="20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6">
        <f>SUM(I571:T571)</f>
        <v>0</v>
      </c>
      <c r="V571" s="20">
        <f t="shared" si="136"/>
        <v>0</v>
      </c>
      <c r="W571" s="35"/>
      <c r="X571" s="65" t="e">
        <f t="shared" si="138"/>
        <v>#DIV/0!</v>
      </c>
    </row>
    <row r="572" spans="1:24" ht="12.75" customHeight="1" hidden="1">
      <c r="A572" s="16"/>
      <c r="B572" s="28"/>
      <c r="C572" s="29"/>
      <c r="D572" s="22"/>
      <c r="E572" s="29" t="s">
        <v>28</v>
      </c>
      <c r="F572" s="44"/>
      <c r="G572" s="39" t="s">
        <v>480</v>
      </c>
      <c r="H572" s="20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6">
        <f>SUM(I572:T572)</f>
        <v>0</v>
      </c>
      <c r="V572" s="20">
        <f t="shared" si="136"/>
        <v>0</v>
      </c>
      <c r="W572" s="35"/>
      <c r="X572" s="65" t="e">
        <f t="shared" si="138"/>
        <v>#DIV/0!</v>
      </c>
    </row>
    <row r="573" spans="1:24" ht="12.75" customHeight="1" hidden="1">
      <c r="A573" s="16"/>
      <c r="B573" s="28" t="s">
        <v>475</v>
      </c>
      <c r="C573" s="29" t="s">
        <v>10</v>
      </c>
      <c r="D573" s="22" t="s">
        <v>30</v>
      </c>
      <c r="E573" s="29"/>
      <c r="F573" s="44"/>
      <c r="G573" s="39" t="s">
        <v>430</v>
      </c>
      <c r="H573" s="20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6">
        <f>SUM(I573:T573)</f>
        <v>0</v>
      </c>
      <c r="V573" s="20">
        <f t="shared" si="136"/>
        <v>0</v>
      </c>
      <c r="W573" s="35"/>
      <c r="X573" s="65" t="e">
        <f t="shared" si="138"/>
        <v>#DIV/0!</v>
      </c>
    </row>
    <row r="574" spans="1:24" ht="12.75">
      <c r="A574" s="16"/>
      <c r="B574" s="283"/>
      <c r="C574" s="69"/>
      <c r="D574" s="267"/>
      <c r="E574" s="69"/>
      <c r="F574" s="44"/>
      <c r="G574" s="39"/>
      <c r="H574" s="19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6"/>
      <c r="V574" s="19"/>
      <c r="W574" s="37"/>
      <c r="X574" s="65"/>
    </row>
    <row r="575" spans="1:24" ht="12.75">
      <c r="A575" s="16"/>
      <c r="B575" s="273" t="s">
        <v>481</v>
      </c>
      <c r="C575" s="284"/>
      <c r="D575" s="285"/>
      <c r="E575" s="284"/>
      <c r="F575" s="286"/>
      <c r="G575" s="275" t="s">
        <v>482</v>
      </c>
      <c r="H575" s="280">
        <f>SUM(H576)</f>
        <v>17315000</v>
      </c>
      <c r="I575" s="280">
        <f aca="true" t="shared" si="142" ref="I575:W575">SUM(I576)</f>
        <v>0</v>
      </c>
      <c r="J575" s="280">
        <f t="shared" si="142"/>
        <v>0</v>
      </c>
      <c r="K575" s="280">
        <f t="shared" si="142"/>
        <v>0</v>
      </c>
      <c r="L575" s="280">
        <f t="shared" si="142"/>
        <v>0</v>
      </c>
      <c r="M575" s="280">
        <f t="shared" si="142"/>
        <v>0</v>
      </c>
      <c r="N575" s="280">
        <f t="shared" si="142"/>
        <v>0</v>
      </c>
      <c r="O575" s="280">
        <f t="shared" si="142"/>
        <v>0</v>
      </c>
      <c r="P575" s="280">
        <f t="shared" si="142"/>
        <v>0</v>
      </c>
      <c r="Q575" s="280">
        <f t="shared" si="142"/>
        <v>0</v>
      </c>
      <c r="R575" s="280">
        <f t="shared" si="142"/>
        <v>0</v>
      </c>
      <c r="S575" s="280">
        <f t="shared" si="142"/>
        <v>0</v>
      </c>
      <c r="T575" s="280">
        <f t="shared" si="142"/>
        <v>0</v>
      </c>
      <c r="U575" s="280">
        <f t="shared" si="142"/>
        <v>0</v>
      </c>
      <c r="V575" s="280">
        <f t="shared" si="136"/>
        <v>17315000</v>
      </c>
      <c r="W575" s="280">
        <f t="shared" si="142"/>
        <v>0</v>
      </c>
      <c r="X575" s="188">
        <f>+Gastos!X432</f>
        <v>0</v>
      </c>
    </row>
    <row r="576" spans="1:24" ht="12.75" customHeight="1">
      <c r="A576" s="16"/>
      <c r="B576" s="28" t="s">
        <v>481</v>
      </c>
      <c r="C576" s="29" t="s">
        <v>12</v>
      </c>
      <c r="D576" s="267"/>
      <c r="E576" s="69"/>
      <c r="F576" s="44"/>
      <c r="G576" s="39" t="s">
        <v>483</v>
      </c>
      <c r="H576" s="19">
        <f>+Gastos!H433</f>
        <v>17315000</v>
      </c>
      <c r="I576" s="37">
        <f>+Gastos!I433</f>
        <v>0</v>
      </c>
      <c r="J576" s="37">
        <f>+Gastos!J433</f>
        <v>0</v>
      </c>
      <c r="K576" s="37">
        <f>+Gastos!K433</f>
        <v>0</v>
      </c>
      <c r="L576" s="37">
        <f>+Gastos!L433</f>
        <v>0</v>
      </c>
      <c r="M576" s="37">
        <f>+Gastos!M433</f>
        <v>0</v>
      </c>
      <c r="N576" s="37">
        <f>+Gastos!N433</f>
        <v>0</v>
      </c>
      <c r="O576" s="37">
        <f>+Gastos!O433</f>
        <v>0</v>
      </c>
      <c r="P576" s="37">
        <f>+Gastos!P433</f>
        <v>0</v>
      </c>
      <c r="Q576" s="37">
        <f>+Gastos!Q433</f>
        <v>0</v>
      </c>
      <c r="R576" s="37">
        <f>+Gastos!R433</f>
        <v>0</v>
      </c>
      <c r="S576" s="37">
        <f>+Gastos!S433</f>
        <v>0</v>
      </c>
      <c r="T576" s="37">
        <f>+Gastos!T433</f>
        <v>0</v>
      </c>
      <c r="U576" s="38">
        <f>+Gastos!U433</f>
        <v>0</v>
      </c>
      <c r="V576" s="19">
        <f t="shared" si="136"/>
        <v>17315000</v>
      </c>
      <c r="W576" s="37">
        <f>SUM(W577:W578)</f>
        <v>0</v>
      </c>
      <c r="X576" s="65">
        <f>+Gastos!X433</f>
        <v>0</v>
      </c>
    </row>
    <row r="577" spans="1:24" ht="12.75" customHeight="1" hidden="1">
      <c r="A577" s="16"/>
      <c r="B577" s="28" t="s">
        <v>481</v>
      </c>
      <c r="C577" s="29" t="s">
        <v>12</v>
      </c>
      <c r="D577" s="22" t="s">
        <v>17</v>
      </c>
      <c r="E577" s="69"/>
      <c r="F577" s="44"/>
      <c r="G577" s="39" t="s">
        <v>148</v>
      </c>
      <c r="H577" s="20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6">
        <f>SUM(I577:T577)</f>
        <v>0</v>
      </c>
      <c r="V577" s="20">
        <f t="shared" si="136"/>
        <v>0</v>
      </c>
      <c r="W577" s="35"/>
      <c r="X577" s="65" t="e">
        <f t="shared" si="138"/>
        <v>#DIV/0!</v>
      </c>
    </row>
    <row r="578" spans="1:24" ht="12.75" customHeight="1" hidden="1">
      <c r="A578" s="16"/>
      <c r="B578" s="28" t="s">
        <v>481</v>
      </c>
      <c r="C578" s="29" t="s">
        <v>12</v>
      </c>
      <c r="D578" s="22" t="s">
        <v>22</v>
      </c>
      <c r="E578" s="69"/>
      <c r="F578" s="44"/>
      <c r="G578" s="39" t="s">
        <v>149</v>
      </c>
      <c r="H578" s="20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6">
        <f>SUM(I578:T578)</f>
        <v>0</v>
      </c>
      <c r="V578" s="20">
        <f t="shared" si="136"/>
        <v>0</v>
      </c>
      <c r="W578" s="35"/>
      <c r="X578" s="65" t="e">
        <f t="shared" si="138"/>
        <v>#DIV/0!</v>
      </c>
    </row>
    <row r="579" spans="1:24" ht="12.75">
      <c r="A579" s="16"/>
      <c r="B579" s="28"/>
      <c r="C579" s="29"/>
      <c r="D579" s="267"/>
      <c r="E579" s="69"/>
      <c r="F579" s="44"/>
      <c r="G579" s="39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6"/>
      <c r="V579" s="19"/>
      <c r="W579" s="37"/>
      <c r="X579" s="65"/>
    </row>
    <row r="580" spans="1:24" ht="12.75">
      <c r="A580" s="16"/>
      <c r="B580" s="273" t="s">
        <v>487</v>
      </c>
      <c r="C580" s="284"/>
      <c r="D580" s="285"/>
      <c r="E580" s="284"/>
      <c r="F580" s="286"/>
      <c r="G580" s="275" t="s">
        <v>488</v>
      </c>
      <c r="H580" s="292"/>
      <c r="I580" s="292"/>
      <c r="J580" s="292"/>
      <c r="K580" s="292"/>
      <c r="L580" s="292"/>
      <c r="M580" s="292"/>
      <c r="N580" s="292"/>
      <c r="O580" s="292"/>
      <c r="P580" s="292"/>
      <c r="Q580" s="292"/>
      <c r="R580" s="292"/>
      <c r="S580" s="292"/>
      <c r="T580" s="292"/>
      <c r="U580" s="293"/>
      <c r="V580" s="291">
        <f t="shared" si="136"/>
        <v>0</v>
      </c>
      <c r="W580" s="292"/>
      <c r="X580" s="188">
        <f>+Gastos!X444</f>
        <v>0</v>
      </c>
    </row>
    <row r="581" spans="1:25" ht="13.5" thickBot="1">
      <c r="A581" s="16"/>
      <c r="B581" s="294"/>
      <c r="C581" s="295"/>
      <c r="D581" s="296"/>
      <c r="E581" s="295"/>
      <c r="F581" s="297"/>
      <c r="G581" s="298" t="s">
        <v>546</v>
      </c>
      <c r="H581" s="300">
        <f>SUM(H154+H367+H462+H466+H505+H508+H515+H532+H541+H559+H565+H575+H580)</f>
        <v>44380508000</v>
      </c>
      <c r="I581" s="300">
        <f>SUM(I154+I367+I462+I466+I505+I508+I515+I532+I541+I559+I565+I575+I580)</f>
        <v>2306338480</v>
      </c>
      <c r="J581" s="300">
        <f>SUM(J154+J367+J462+J466+J505+J508+J515+J532+J541+J559+J565+J575+J580)</f>
        <v>2087786501</v>
      </c>
      <c r="K581" s="300">
        <f>SUM(K154+K367+K462+K466+K505+K508+K515+K532+K541+K559+K565+K575+K580)</f>
        <v>1992804077</v>
      </c>
      <c r="L581" s="300">
        <f>SUM(L154+L367+L462+L466+L505+L508+L515+L532+L541+L559+L565+L575+L580)</f>
        <v>4529847141</v>
      </c>
      <c r="M581" s="300">
        <f>SUM(M154+M367+M462+M466+M505+M508+M515+M532+M541+M559+M565+M575+M580)</f>
        <v>2787629602</v>
      </c>
      <c r="N581" s="300">
        <f>SUM(N154+N367+N462+N466+N505+N508+N515+N532+N541+N559+N565+N575+N580)</f>
        <v>1915701309</v>
      </c>
      <c r="O581" s="300">
        <f>SUM(O154+O367+O462+O466+O505+O508+O515+O532+O541+O559+O565+O575+O580)</f>
        <v>9950859521</v>
      </c>
      <c r="P581" s="300">
        <f>SUM(P154+P367+P462+P466+P505+P508+P515+P532+P541+P559+P565+P575+P580)</f>
        <v>3053530147</v>
      </c>
      <c r="Q581" s="300">
        <f>SUM(Q154+Q367+Q462+Q466+Q505+Q508+Q515+Q532+Q541+Q559+Q565+Q575+Q580)</f>
        <v>4000371732</v>
      </c>
      <c r="R581" s="300">
        <f>SUM(R154+R367+R462+R466+R505+R508+R515+R532+R541+R559+R565+R575+R580)</f>
        <v>0</v>
      </c>
      <c r="S581" s="300">
        <f>SUM(S154+S367+S462+S466+S505+S508+S515+S532+S541+S559+S565+S575+S580)</f>
        <v>0</v>
      </c>
      <c r="T581" s="300">
        <f>SUM(T154+T367+T462+T466+T505+T508+T515+T532+T541+T559+T565+T575+T580)</f>
        <v>0</v>
      </c>
      <c r="U581" s="300">
        <f>SUM(U154+U367+U462+U466+U505+U508+U515+U532+U541+U559+U565+U575+U580)</f>
        <v>32624868510</v>
      </c>
      <c r="V581" s="299">
        <f t="shared" si="136"/>
        <v>11755639490</v>
      </c>
      <c r="W581" s="300">
        <f>SUM(W154+W367+W462+W466+W505+W508+W515+W532+W541+W559+W565+W575+W580)</f>
        <v>321594498</v>
      </c>
      <c r="X581" s="65">
        <f>+Gastos!X446</f>
        <v>73.511705882231</v>
      </c>
      <c r="Y581" s="15"/>
    </row>
    <row r="582" spans="1:24" ht="13.5" thickBot="1">
      <c r="A582" s="16"/>
      <c r="B582" s="56"/>
      <c r="C582" s="56"/>
      <c r="D582" s="56"/>
      <c r="E582" s="56"/>
      <c r="F582" s="56"/>
      <c r="G582" s="56"/>
      <c r="H582" s="56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56"/>
      <c r="U582" s="64"/>
      <c r="V582" s="71"/>
      <c r="W582" s="72"/>
      <c r="X582" s="72"/>
    </row>
    <row r="583" spans="1:24" ht="13.5" thickBot="1">
      <c r="A583" s="16"/>
      <c r="B583" s="73"/>
      <c r="C583" s="74"/>
      <c r="D583" s="74"/>
      <c r="E583" s="74"/>
      <c r="F583" s="74"/>
      <c r="G583" s="74" t="s">
        <v>526</v>
      </c>
      <c r="H583" s="75">
        <f>SUM(H146-H581)</f>
        <v>0</v>
      </c>
      <c r="I583" s="75">
        <f>SUM(I146-I581)</f>
        <v>1152639877</v>
      </c>
      <c r="J583" s="75">
        <f>SUM(J146-J581)</f>
        <v>-329201146</v>
      </c>
      <c r="K583" s="75">
        <f>SUM(K146-K581)</f>
        <v>2848619120</v>
      </c>
      <c r="L583" s="75">
        <f>SUM(L146-L581)</f>
        <v>-2897082987</v>
      </c>
      <c r="M583" s="75">
        <f>SUM(M146-M581)</f>
        <v>920809601</v>
      </c>
      <c r="N583" s="75">
        <f>SUM(N146-N581)</f>
        <v>-288583282</v>
      </c>
      <c r="O583" s="75">
        <f>SUM(O146-O581)</f>
        <v>1551137986</v>
      </c>
      <c r="P583" s="75">
        <f>SUM(P146-P581)</f>
        <v>28307632</v>
      </c>
      <c r="Q583" s="75">
        <f>SUM(Q146-Q581)</f>
        <v>-1206712218</v>
      </c>
      <c r="R583" s="75">
        <f>SUM(R146-R581)</f>
        <v>0</v>
      </c>
      <c r="S583" s="75">
        <f>SUM(S146-S581)</f>
        <v>0</v>
      </c>
      <c r="T583" s="75">
        <f>SUM(T146-T581)</f>
        <v>0</v>
      </c>
      <c r="U583" s="75">
        <f>SUM(U146-U581)</f>
        <v>1779934583</v>
      </c>
      <c r="V583" s="76"/>
      <c r="W583" s="77"/>
      <c r="X583" s="77"/>
    </row>
    <row r="584" spans="1:24" ht="13.5" thickBot="1">
      <c r="A584" s="16"/>
      <c r="B584" s="73"/>
      <c r="C584" s="74"/>
      <c r="D584" s="74"/>
      <c r="E584" s="74"/>
      <c r="F584" s="74"/>
      <c r="G584" s="74" t="s">
        <v>521</v>
      </c>
      <c r="H584" s="74"/>
      <c r="I584" s="75">
        <f>+I583</f>
        <v>1152639877</v>
      </c>
      <c r="J584" s="75">
        <f aca="true" t="shared" si="143" ref="J584:T584">+I584+J583</f>
        <v>823438731</v>
      </c>
      <c r="K584" s="75">
        <f t="shared" si="143"/>
        <v>3672057851</v>
      </c>
      <c r="L584" s="75">
        <f t="shared" si="143"/>
        <v>774974864</v>
      </c>
      <c r="M584" s="75">
        <f t="shared" si="143"/>
        <v>1695784465</v>
      </c>
      <c r="N584" s="75">
        <f t="shared" si="143"/>
        <v>1407201183</v>
      </c>
      <c r="O584" s="75">
        <f t="shared" si="143"/>
        <v>2958339169</v>
      </c>
      <c r="P584" s="75">
        <f t="shared" si="143"/>
        <v>2986646801</v>
      </c>
      <c r="Q584" s="75">
        <f t="shared" si="143"/>
        <v>1779934583</v>
      </c>
      <c r="R584" s="75">
        <f t="shared" si="143"/>
        <v>1779934583</v>
      </c>
      <c r="S584" s="75">
        <f t="shared" si="143"/>
        <v>1779934583</v>
      </c>
      <c r="T584" s="75">
        <f t="shared" si="143"/>
        <v>1779934583</v>
      </c>
      <c r="U584" s="75"/>
      <c r="V584" s="73"/>
      <c r="W584" s="78"/>
      <c r="X584" s="78"/>
    </row>
    <row r="585" spans="1:2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56"/>
      <c r="X585" s="56"/>
    </row>
    <row r="586" spans="1:2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56"/>
      <c r="X586" s="56"/>
    </row>
    <row r="587" spans="1:2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89"/>
      <c r="R587" s="16"/>
      <c r="S587" s="16"/>
      <c r="T587" s="16"/>
      <c r="U587" s="189"/>
      <c r="V587" s="16"/>
      <c r="W587" s="56"/>
      <c r="X587" s="56"/>
    </row>
    <row r="588" spans="1:2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56"/>
      <c r="X588" s="56"/>
    </row>
    <row r="589" spans="1:2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56"/>
      <c r="X589" s="56"/>
    </row>
    <row r="590" spans="1:2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56"/>
      <c r="X590" s="56"/>
    </row>
    <row r="591" spans="1:2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56"/>
      <c r="X591" s="56"/>
    </row>
    <row r="592" spans="1:2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56"/>
      <c r="X592" s="56"/>
    </row>
    <row r="593" spans="1:2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56"/>
      <c r="X593" s="56"/>
    </row>
    <row r="594" spans="1:2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56"/>
      <c r="X594" s="56"/>
    </row>
    <row r="595" spans="1:2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56"/>
      <c r="X595" s="56"/>
    </row>
    <row r="596" spans="1:2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56"/>
      <c r="X596" s="56"/>
    </row>
    <row r="597" spans="1:2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</row>
    <row r="598" spans="1:2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</row>
    <row r="599" spans="1:2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</row>
    <row r="600" spans="1:2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</row>
    <row r="601" spans="1:2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</row>
    <row r="602" spans="1:2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</row>
    <row r="603" spans="1:2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</row>
    <row r="604" spans="1:2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</row>
    <row r="605" spans="1:2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</row>
    <row r="606" spans="1:2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</row>
    <row r="607" spans="1:2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</row>
    <row r="608" spans="1:2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</row>
    <row r="609" spans="1:2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</row>
    <row r="610" spans="1:2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</row>
    <row r="611" spans="1:2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</row>
    <row r="612" spans="1:2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</row>
    <row r="613" spans="1:2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</row>
    <row r="614" spans="1:2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</row>
    <row r="615" spans="1:2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</row>
    <row r="616" spans="1:2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</row>
    <row r="617" spans="1:2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</row>
    <row r="618" spans="1:2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</row>
    <row r="619" spans="1:2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</row>
    <row r="620" spans="1:2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</row>
    <row r="621" spans="1:2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</row>
  </sheetData>
  <sheetProtection/>
  <printOptions/>
  <pageMargins left="0" right="0" top="0" bottom="0" header="0" footer="0.5905511811023623"/>
  <pageSetup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I68"/>
  <sheetViews>
    <sheetView zoomScalePageLayoutView="0" workbookViewId="0" topLeftCell="A1">
      <selection activeCell="B5" sqref="B5"/>
    </sheetView>
  </sheetViews>
  <sheetFormatPr defaultColWidth="11.421875" defaultRowHeight="12.75"/>
  <cols>
    <col min="2" max="2" width="46.00390625" style="0" customWidth="1"/>
    <col min="9" max="9" width="11.8515625" style="0" customWidth="1"/>
  </cols>
  <sheetData>
    <row r="1" spans="2:5" ht="18.75">
      <c r="B1" s="341" t="s">
        <v>0</v>
      </c>
      <c r="E1" s="415"/>
    </row>
    <row r="2" ht="12.75">
      <c r="B2" s="341" t="s">
        <v>1</v>
      </c>
    </row>
    <row r="3" spans="2:5" ht="21" customHeight="1">
      <c r="B3" s="388" t="s">
        <v>629</v>
      </c>
      <c r="C3" s="389"/>
      <c r="D3" s="389"/>
      <c r="E3" s="389"/>
    </row>
    <row r="4" spans="2:9" ht="16.5" customHeight="1" thickBot="1">
      <c r="B4" s="445" t="s">
        <v>675</v>
      </c>
      <c r="C4" s="445"/>
      <c r="D4" s="445"/>
      <c r="E4" s="445"/>
      <c r="F4" s="445"/>
      <c r="G4" s="415"/>
      <c r="H4" s="415"/>
      <c r="I4" s="415"/>
    </row>
    <row r="5" spans="2:5" ht="17.25" customHeight="1" thickBot="1">
      <c r="B5" s="412" t="s">
        <v>630</v>
      </c>
      <c r="C5" s="441" t="s">
        <v>631</v>
      </c>
      <c r="D5" s="442"/>
      <c r="E5" s="390"/>
    </row>
    <row r="6" spans="2:5" ht="13.5" customHeight="1" thickBot="1">
      <c r="B6" s="413" t="s">
        <v>632</v>
      </c>
      <c r="C6" s="443" t="s">
        <v>633</v>
      </c>
      <c r="D6" s="444"/>
      <c r="E6" s="390"/>
    </row>
    <row r="7" spans="2:5" ht="17.25" customHeight="1" thickBot="1">
      <c r="B7" s="413" t="s">
        <v>634</v>
      </c>
      <c r="C7" s="443" t="s">
        <v>635</v>
      </c>
      <c r="D7" s="444"/>
      <c r="E7" s="390"/>
    </row>
    <row r="8" spans="2:5" ht="15" customHeight="1" thickBot="1">
      <c r="B8" s="414" t="s">
        <v>636</v>
      </c>
      <c r="C8" s="443">
        <v>6101</v>
      </c>
      <c r="D8" s="444"/>
      <c r="E8" s="390"/>
    </row>
    <row r="9" spans="6:9" ht="15.75" customHeight="1" thickBot="1">
      <c r="F9" s="391"/>
      <c r="G9" s="391"/>
      <c r="H9" s="391"/>
      <c r="I9" s="431"/>
    </row>
    <row r="10" spans="2:9" ht="15.75" thickBot="1">
      <c r="B10" s="393"/>
      <c r="C10" s="392" t="s">
        <v>637</v>
      </c>
      <c r="D10" s="392" t="s">
        <v>638</v>
      </c>
      <c r="E10" s="392" t="s">
        <v>639</v>
      </c>
      <c r="F10" s="392" t="s">
        <v>640</v>
      </c>
      <c r="G10" s="392" t="s">
        <v>641</v>
      </c>
      <c r="H10" s="392" t="s">
        <v>642</v>
      </c>
      <c r="I10" s="392" t="s">
        <v>646</v>
      </c>
    </row>
    <row r="11" spans="2:9" ht="15.75" thickBot="1">
      <c r="B11" s="343" t="s">
        <v>575</v>
      </c>
      <c r="C11" s="394" t="s">
        <v>643</v>
      </c>
      <c r="D11" s="395" t="s">
        <v>643</v>
      </c>
      <c r="E11" s="344" t="s">
        <v>576</v>
      </c>
      <c r="F11" s="344" t="s">
        <v>576</v>
      </c>
      <c r="G11" s="344" t="s">
        <v>576</v>
      </c>
      <c r="H11" s="344" t="s">
        <v>576</v>
      </c>
      <c r="I11" s="344" t="s">
        <v>576</v>
      </c>
    </row>
    <row r="12" spans="2:9" ht="17.25" customHeight="1" thickBot="1">
      <c r="B12" s="345" t="s">
        <v>577</v>
      </c>
      <c r="C12" s="346">
        <f aca="true" t="shared" si="0" ref="C12:I12">SUM(C13)+C26+C28+C29+C30+C31</f>
        <v>18184129</v>
      </c>
      <c r="D12" s="346">
        <f t="shared" si="0"/>
        <v>18285759</v>
      </c>
      <c r="E12" s="346">
        <f t="shared" si="0"/>
        <v>21183750</v>
      </c>
      <c r="F12" s="346">
        <f t="shared" si="0"/>
        <v>23002904</v>
      </c>
      <c r="G12" s="346">
        <f t="shared" si="0"/>
        <v>26783515</v>
      </c>
      <c r="H12" s="346">
        <f>SUM(H13)+H26+H28+H29+H30+H31</f>
        <v>29027601</v>
      </c>
      <c r="I12" s="346">
        <f t="shared" si="0"/>
        <v>33013164.637999997</v>
      </c>
    </row>
    <row r="13" spans="2:9" ht="17.25" customHeight="1">
      <c r="B13" s="347" t="s">
        <v>578</v>
      </c>
      <c r="C13" s="348">
        <f aca="true" t="shared" si="1" ref="C13:I13">SUM(C14:C25)</f>
        <v>10200724</v>
      </c>
      <c r="D13" s="348">
        <f t="shared" si="1"/>
        <v>9779813</v>
      </c>
      <c r="E13" s="348">
        <f t="shared" si="1"/>
        <v>11120189</v>
      </c>
      <c r="F13" s="348">
        <f t="shared" si="1"/>
        <v>12258696</v>
      </c>
      <c r="G13" s="348">
        <f t="shared" si="1"/>
        <v>12610542</v>
      </c>
      <c r="H13" s="348">
        <f>SUM(H14:H25)</f>
        <v>14491738</v>
      </c>
      <c r="I13" s="348">
        <f t="shared" si="1"/>
        <v>12510029.859999998</v>
      </c>
    </row>
    <row r="14" spans="2:9" ht="15" customHeight="1">
      <c r="B14" s="349" t="s">
        <v>579</v>
      </c>
      <c r="C14" s="396">
        <v>2709686</v>
      </c>
      <c r="D14" s="397">
        <v>2640718</v>
      </c>
      <c r="E14" s="350">
        <v>2846859</v>
      </c>
      <c r="F14" s="350">
        <v>3194916</v>
      </c>
      <c r="G14" s="350">
        <v>3005644</v>
      </c>
      <c r="H14" s="350">
        <v>3548150</v>
      </c>
      <c r="I14" s="350">
        <f>+Ingresos!V40/1000</f>
        <v>2199064.98</v>
      </c>
    </row>
    <row r="15" spans="2:9" ht="14.25" customHeight="1">
      <c r="B15" s="349" t="s">
        <v>580</v>
      </c>
      <c r="C15" s="396">
        <v>989101</v>
      </c>
      <c r="D15" s="397">
        <v>1106343</v>
      </c>
      <c r="E15" s="350">
        <v>1383213</v>
      </c>
      <c r="F15" s="350">
        <v>1609460</v>
      </c>
      <c r="G15" s="350">
        <v>1834654</v>
      </c>
      <c r="H15" s="350">
        <v>2110133</v>
      </c>
      <c r="I15" s="350">
        <f>+Ingresos!V36/1000</f>
        <v>2154435.052</v>
      </c>
    </row>
    <row r="16" spans="2:9" ht="14.25" customHeight="1">
      <c r="B16" s="349" t="s">
        <v>581</v>
      </c>
      <c r="C16" s="396">
        <v>2499871</v>
      </c>
      <c r="D16" s="397">
        <v>2482567</v>
      </c>
      <c r="E16" s="350">
        <v>2704326</v>
      </c>
      <c r="F16" s="350">
        <v>2990346</v>
      </c>
      <c r="G16" s="350">
        <v>3189562</v>
      </c>
      <c r="H16" s="350">
        <v>3634599</v>
      </c>
      <c r="I16" s="350">
        <f>+Ingresos!V9/1000</f>
        <v>3959934.837</v>
      </c>
    </row>
    <row r="17" spans="2:9" ht="12.75" customHeight="1">
      <c r="B17" s="349" t="s">
        <v>582</v>
      </c>
      <c r="C17" s="396">
        <v>919286</v>
      </c>
      <c r="D17" s="397">
        <v>837605</v>
      </c>
      <c r="E17" s="350">
        <v>1005026</v>
      </c>
      <c r="F17" s="350">
        <v>1053465</v>
      </c>
      <c r="G17" s="350">
        <v>1044473</v>
      </c>
      <c r="H17" s="350">
        <v>1178279</v>
      </c>
      <c r="I17" s="350">
        <f>+Ingresos!V19/1000</f>
        <v>904662.405</v>
      </c>
    </row>
    <row r="18" spans="2:9" ht="12.75" customHeight="1">
      <c r="B18" s="351" t="s">
        <v>583</v>
      </c>
      <c r="C18" s="398">
        <v>1806124</v>
      </c>
      <c r="D18" s="399">
        <v>1469992</v>
      </c>
      <c r="E18" s="352">
        <v>1723755</v>
      </c>
      <c r="F18" s="352">
        <v>1890286</v>
      </c>
      <c r="G18" s="350">
        <v>2023027</v>
      </c>
      <c r="H18" s="350">
        <v>2252241</v>
      </c>
      <c r="I18" s="352">
        <f>+Ingresos!V24/1000</f>
        <v>1898359.672</v>
      </c>
    </row>
    <row r="19" spans="2:9" ht="13.5" customHeight="1">
      <c r="B19" s="351" t="s">
        <v>584</v>
      </c>
      <c r="C19" s="398">
        <v>36749</v>
      </c>
      <c r="D19" s="399">
        <v>17995</v>
      </c>
      <c r="E19" s="352">
        <v>24542</v>
      </c>
      <c r="F19" s="352">
        <v>29894</v>
      </c>
      <c r="G19" s="352">
        <v>39947</v>
      </c>
      <c r="H19" s="352">
        <v>76923</v>
      </c>
      <c r="I19" s="352">
        <f>+Ingresos!V60/1000</f>
        <v>57758.937</v>
      </c>
    </row>
    <row r="20" spans="2:9" ht="14.25" customHeight="1">
      <c r="B20" s="351" t="s">
        <v>585</v>
      </c>
      <c r="C20" s="398">
        <v>220783</v>
      </c>
      <c r="D20" s="399">
        <v>252884</v>
      </c>
      <c r="E20" s="352">
        <v>323163</v>
      </c>
      <c r="F20" s="352">
        <v>351126</v>
      </c>
      <c r="G20" s="352">
        <v>320944</v>
      </c>
      <c r="H20" s="352">
        <v>409231</v>
      </c>
      <c r="I20" s="352">
        <f>+Ingresos!V38/1000</f>
        <v>306616.589</v>
      </c>
    </row>
    <row r="21" spans="2:9" ht="24.75" customHeight="1">
      <c r="B21" s="351" t="s">
        <v>586</v>
      </c>
      <c r="C21" s="398">
        <v>787038</v>
      </c>
      <c r="D21" s="399">
        <v>781674</v>
      </c>
      <c r="E21" s="352">
        <v>889926</v>
      </c>
      <c r="F21" s="352">
        <v>917546</v>
      </c>
      <c r="G21" s="352">
        <v>905606</v>
      </c>
      <c r="H21" s="352">
        <v>1055328</v>
      </c>
      <c r="I21" s="352">
        <f>+Ingresos!V73/1000+Ingresos!V89/1000+Ingresos!V91/1000+Ingresos!V93/1000</f>
        <v>829629.427</v>
      </c>
    </row>
    <row r="22" spans="2:9" ht="18" customHeight="1">
      <c r="B22" s="351" t="s">
        <v>587</v>
      </c>
      <c r="C22" s="398">
        <v>214254</v>
      </c>
      <c r="D22" s="399">
        <v>168509</v>
      </c>
      <c r="E22" s="352">
        <v>196517</v>
      </c>
      <c r="F22" s="352">
        <v>210719</v>
      </c>
      <c r="G22" s="352">
        <v>234960</v>
      </c>
      <c r="H22" s="352">
        <v>212796</v>
      </c>
      <c r="I22" s="352">
        <f>+Ingresos!V31/1000</f>
        <v>185204.734</v>
      </c>
    </row>
    <row r="23" spans="2:9" ht="17.25" customHeight="1">
      <c r="B23" s="351" t="s">
        <v>588</v>
      </c>
      <c r="C23" s="398">
        <v>0</v>
      </c>
      <c r="D23" s="399">
        <v>0</v>
      </c>
      <c r="E23" s="352">
        <v>0</v>
      </c>
      <c r="F23" s="352">
        <v>0</v>
      </c>
      <c r="G23" s="352">
        <v>0</v>
      </c>
      <c r="H23" s="352">
        <v>0</v>
      </c>
      <c r="I23" s="352">
        <v>0</v>
      </c>
    </row>
    <row r="24" spans="2:9" ht="20.25" customHeight="1">
      <c r="B24" s="351" t="s">
        <v>589</v>
      </c>
      <c r="C24" s="398">
        <v>17832</v>
      </c>
      <c r="D24" s="399">
        <v>21526</v>
      </c>
      <c r="E24" s="352">
        <v>22862</v>
      </c>
      <c r="F24" s="352">
        <v>10938</v>
      </c>
      <c r="G24" s="352">
        <v>11725</v>
      </c>
      <c r="H24" s="352">
        <v>14058</v>
      </c>
      <c r="I24" s="352">
        <f>+Ingresos!V133/1000</f>
        <v>14363.227</v>
      </c>
    </row>
    <row r="25" spans="2:9" ht="18" customHeight="1">
      <c r="B25" s="351" t="s">
        <v>590</v>
      </c>
      <c r="C25" s="398">
        <v>0</v>
      </c>
      <c r="D25" s="399">
        <v>0</v>
      </c>
      <c r="E25" s="352">
        <v>0</v>
      </c>
      <c r="F25" s="352">
        <v>0</v>
      </c>
      <c r="G25" s="352">
        <v>0</v>
      </c>
      <c r="H25" s="352">
        <v>0</v>
      </c>
      <c r="I25" s="352">
        <v>0</v>
      </c>
    </row>
    <row r="26" spans="2:9" ht="15.75" customHeight="1">
      <c r="B26" s="353" t="s">
        <v>591</v>
      </c>
      <c r="C26" s="400">
        <v>3826286</v>
      </c>
      <c r="D26" s="401">
        <v>4343124</v>
      </c>
      <c r="E26" s="354">
        <v>5122620</v>
      </c>
      <c r="F26" s="354">
        <v>6055542</v>
      </c>
      <c r="G26" s="354">
        <v>6757734</v>
      </c>
      <c r="H26" s="354">
        <v>7698797</v>
      </c>
      <c r="I26" s="354">
        <f>+Ingresos!V94/1000</f>
        <v>6377766.016</v>
      </c>
    </row>
    <row r="27" spans="2:9" ht="17.25" customHeight="1">
      <c r="B27" s="353" t="s">
        <v>592</v>
      </c>
      <c r="C27" s="400">
        <v>14027010</v>
      </c>
      <c r="D27" s="401">
        <v>14122937</v>
      </c>
      <c r="E27" s="354">
        <v>16242809</v>
      </c>
      <c r="F27" s="354">
        <f>+F13+F26</f>
        <v>18314238</v>
      </c>
      <c r="G27" s="354">
        <f>+G13+G26</f>
        <v>19368276</v>
      </c>
      <c r="H27" s="354">
        <f>+H13+H26</f>
        <v>22190535</v>
      </c>
      <c r="I27" s="354">
        <f>+I13+I26</f>
        <v>18887795.876</v>
      </c>
    </row>
    <row r="28" spans="2:9" ht="17.25" customHeight="1">
      <c r="B28" s="353" t="s">
        <v>593</v>
      </c>
      <c r="C28" s="400">
        <v>7146</v>
      </c>
      <c r="D28" s="401">
        <v>485925</v>
      </c>
      <c r="E28" s="354">
        <v>593205</v>
      </c>
      <c r="F28" s="354">
        <v>771275</v>
      </c>
      <c r="G28" s="354">
        <v>856909</v>
      </c>
      <c r="H28" s="354">
        <v>1319178</v>
      </c>
      <c r="I28" s="354">
        <f>+Ingresos!V43/1000</f>
        <v>10418824.875</v>
      </c>
    </row>
    <row r="29" spans="2:9" ht="14.25" customHeight="1">
      <c r="B29" s="353" t="s">
        <v>594</v>
      </c>
      <c r="C29" s="400">
        <v>1593537</v>
      </c>
      <c r="D29" s="401">
        <v>864368</v>
      </c>
      <c r="E29" s="354">
        <v>1215099</v>
      </c>
      <c r="F29" s="354">
        <v>535688</v>
      </c>
      <c r="G29" s="354">
        <v>2636855</v>
      </c>
      <c r="H29" s="354">
        <v>520561</v>
      </c>
      <c r="I29" s="354">
        <f>+Ingresos!V122/1000-Ingresos!V133/1000</f>
        <v>134617.01599999997</v>
      </c>
    </row>
    <row r="30" spans="2:9" ht="27.75" customHeight="1">
      <c r="B30" s="353" t="s">
        <v>595</v>
      </c>
      <c r="C30" s="400">
        <v>5660</v>
      </c>
      <c r="D30" s="401">
        <v>8440</v>
      </c>
      <c r="E30" s="354">
        <v>1746</v>
      </c>
      <c r="F30" s="354">
        <v>19866</v>
      </c>
      <c r="G30" s="354">
        <v>19250</v>
      </c>
      <c r="H30" s="354">
        <v>0</v>
      </c>
      <c r="I30" s="354">
        <f>+Ingresos!V106/1000</f>
        <v>0</v>
      </c>
    </row>
    <row r="31" spans="2:9" ht="19.5" customHeight="1">
      <c r="B31" s="355" t="s">
        <v>596</v>
      </c>
      <c r="C31" s="402">
        <v>2550776</v>
      </c>
      <c r="D31" s="403">
        <v>2804089</v>
      </c>
      <c r="E31" s="356">
        <v>3130891</v>
      </c>
      <c r="F31" s="356">
        <v>3361837</v>
      </c>
      <c r="G31" s="356">
        <v>3902225</v>
      </c>
      <c r="H31" s="356">
        <v>4997327</v>
      </c>
      <c r="I31" s="356">
        <f>+Ingresos!V40/1000+Ingresos!V64/1000+Ingresos!V69/1000+Ingresos!V88/1000+Ingresos!V90/1000+Ingresos!V92/1000+Ingresos!V99/1000+Ingresos!V102/1000+Ingresos!V118/1000</f>
        <v>3571926.8710000003</v>
      </c>
    </row>
    <row r="32" spans="2:9" ht="15.75" thickBot="1">
      <c r="B32" s="357"/>
      <c r="C32" s="404"/>
      <c r="D32" s="405"/>
      <c r="E32" s="358"/>
      <c r="F32" s="358"/>
      <c r="G32" s="358"/>
      <c r="H32" s="358"/>
      <c r="I32" s="358"/>
    </row>
    <row r="33" spans="2:9" ht="15">
      <c r="B33" s="359" t="s">
        <v>597</v>
      </c>
      <c r="C33" s="360" t="s">
        <v>643</v>
      </c>
      <c r="D33" s="360" t="s">
        <v>643</v>
      </c>
      <c r="E33" s="360" t="s">
        <v>576</v>
      </c>
      <c r="F33" s="360" t="s">
        <v>576</v>
      </c>
      <c r="G33" s="360" t="s">
        <v>576</v>
      </c>
      <c r="H33" s="360" t="s">
        <v>576</v>
      </c>
      <c r="I33" s="360" t="s">
        <v>576</v>
      </c>
    </row>
    <row r="34" spans="2:9" ht="21.75" customHeight="1">
      <c r="B34" s="361" t="s">
        <v>598</v>
      </c>
      <c r="C34" s="362">
        <f aca="true" t="shared" si="2" ref="C34:I34">SUM(C35+C41+C50+C55+C59)</f>
        <v>18494778</v>
      </c>
      <c r="D34" s="362">
        <f t="shared" si="2"/>
        <v>17232271</v>
      </c>
      <c r="E34" s="362">
        <f t="shared" si="2"/>
        <v>20416342</v>
      </c>
      <c r="F34" s="362">
        <f t="shared" si="2"/>
        <v>23761739</v>
      </c>
      <c r="G34" s="362">
        <f t="shared" si="2"/>
        <v>27028093</v>
      </c>
      <c r="H34" s="362">
        <f>SUM(H35+H41+H50+H55+H59)</f>
        <v>27937229</v>
      </c>
      <c r="I34" s="362">
        <f t="shared" si="2"/>
        <v>32624868.509999998</v>
      </c>
    </row>
    <row r="35" spans="2:9" ht="15" customHeight="1">
      <c r="B35" s="353" t="s">
        <v>599</v>
      </c>
      <c r="C35" s="363">
        <f aca="true" t="shared" si="3" ref="C35:I35">SUM(C36:C40)</f>
        <v>3891145</v>
      </c>
      <c r="D35" s="363">
        <f t="shared" si="3"/>
        <v>4142862</v>
      </c>
      <c r="E35" s="363">
        <f t="shared" si="3"/>
        <v>4481268</v>
      </c>
      <c r="F35" s="363">
        <f t="shared" si="3"/>
        <v>5402761</v>
      </c>
      <c r="G35" s="363">
        <f t="shared" si="3"/>
        <v>6149675</v>
      </c>
      <c r="H35" s="363">
        <f>SUM(H36:H40)</f>
        <v>6715452</v>
      </c>
      <c r="I35" s="363">
        <f t="shared" si="3"/>
        <v>5085840.355999999</v>
      </c>
    </row>
    <row r="36" spans="2:9" ht="17.25" customHeight="1">
      <c r="B36" s="364" t="s">
        <v>600</v>
      </c>
      <c r="C36" s="365">
        <v>2812847</v>
      </c>
      <c r="D36" s="365">
        <v>2840294</v>
      </c>
      <c r="E36" s="365">
        <v>2823769</v>
      </c>
      <c r="F36" s="365">
        <v>3081935</v>
      </c>
      <c r="G36" s="365">
        <v>3269358</v>
      </c>
      <c r="H36" s="365">
        <v>3644520</v>
      </c>
      <c r="I36" s="365">
        <f>+Gastos!U9/1000</f>
        <v>2806308.976</v>
      </c>
    </row>
    <row r="37" spans="2:9" ht="17.25" customHeight="1">
      <c r="B37" s="364" t="s">
        <v>601</v>
      </c>
      <c r="C37" s="365">
        <v>491678</v>
      </c>
      <c r="D37" s="365">
        <v>561924</v>
      </c>
      <c r="E37" s="365">
        <v>590706</v>
      </c>
      <c r="F37" s="365">
        <v>779997</v>
      </c>
      <c r="G37" s="365">
        <v>960564</v>
      </c>
      <c r="H37" s="365">
        <v>1104280</v>
      </c>
      <c r="I37" s="365">
        <f>+Gastos!U113/1000</f>
        <v>762296.896</v>
      </c>
    </row>
    <row r="38" spans="2:9" ht="15" customHeight="1">
      <c r="B38" s="364" t="s">
        <v>602</v>
      </c>
      <c r="C38" s="365">
        <v>182821</v>
      </c>
      <c r="D38" s="365">
        <v>214741</v>
      </c>
      <c r="E38" s="365">
        <v>286203</v>
      </c>
      <c r="F38" s="365">
        <v>307667</v>
      </c>
      <c r="G38" s="365">
        <v>379117</v>
      </c>
      <c r="H38" s="365">
        <v>374789</v>
      </c>
      <c r="I38" s="365">
        <f>+Gastos!U192/1000+Gastos!U193/1000</f>
        <v>354292.278</v>
      </c>
    </row>
    <row r="39" spans="2:9" ht="18" customHeight="1">
      <c r="B39" s="364" t="s">
        <v>603</v>
      </c>
      <c r="C39" s="365">
        <v>276244</v>
      </c>
      <c r="D39" s="365">
        <v>366746</v>
      </c>
      <c r="E39" s="365">
        <v>594515</v>
      </c>
      <c r="F39" s="365">
        <v>1068574</v>
      </c>
      <c r="G39" s="365">
        <v>1350455</v>
      </c>
      <c r="H39" s="365">
        <v>1351805</v>
      </c>
      <c r="I39" s="365">
        <f>+Gastos!U220/1000</f>
        <v>991347.009</v>
      </c>
    </row>
    <row r="40" spans="2:9" ht="17.25" customHeight="1">
      <c r="B40" s="364" t="s">
        <v>604</v>
      </c>
      <c r="C40" s="365">
        <v>127555</v>
      </c>
      <c r="D40" s="365">
        <v>159157</v>
      </c>
      <c r="E40" s="365">
        <v>186075</v>
      </c>
      <c r="F40" s="365">
        <v>164588</v>
      </c>
      <c r="G40" s="365">
        <v>190181</v>
      </c>
      <c r="H40" s="365">
        <v>240058</v>
      </c>
      <c r="I40" s="365">
        <f>+Gastos!U195/1000+Gastos!U197/1000+Gastos!U205/1000</f>
        <v>171595.197</v>
      </c>
    </row>
    <row r="41" spans="2:9" ht="21.75" customHeight="1">
      <c r="B41" s="353" t="s">
        <v>605</v>
      </c>
      <c r="C41" s="363">
        <f aca="true" t="shared" si="4" ref="C41:I41">SUM(C42:C49)</f>
        <v>7973331</v>
      </c>
      <c r="D41" s="363">
        <f t="shared" si="4"/>
        <v>7318636</v>
      </c>
      <c r="E41" s="363">
        <f t="shared" si="4"/>
        <v>9470805</v>
      </c>
      <c r="F41" s="363">
        <f t="shared" si="4"/>
        <v>10088164</v>
      </c>
      <c r="G41" s="363">
        <f t="shared" si="4"/>
        <v>10369815</v>
      </c>
      <c r="H41" s="363">
        <f>SUM(H42:H49)</f>
        <v>11787742</v>
      </c>
      <c r="I41" s="363">
        <f t="shared" si="4"/>
        <v>10105487.742999999</v>
      </c>
    </row>
    <row r="42" spans="2:9" ht="17.25" customHeight="1">
      <c r="B42" s="366" t="s">
        <v>606</v>
      </c>
      <c r="C42" s="367">
        <v>2179601</v>
      </c>
      <c r="D42" s="367">
        <v>1679804</v>
      </c>
      <c r="E42" s="367">
        <v>2455965</v>
      </c>
      <c r="F42" s="367">
        <v>1639843</v>
      </c>
      <c r="G42" s="367">
        <v>1691067</v>
      </c>
      <c r="H42" s="367">
        <v>2030190</v>
      </c>
      <c r="I42" s="367">
        <f>+Gastos!U254/1000</f>
        <v>1849512.006</v>
      </c>
    </row>
    <row r="43" spans="2:9" ht="19.5" customHeight="1">
      <c r="B43" s="366" t="s">
        <v>607</v>
      </c>
      <c r="C43" s="367">
        <v>484214</v>
      </c>
      <c r="D43" s="367">
        <v>435670</v>
      </c>
      <c r="E43" s="367">
        <v>403857</v>
      </c>
      <c r="F43" s="367">
        <v>462417</v>
      </c>
      <c r="G43" s="367">
        <v>429582</v>
      </c>
      <c r="H43" s="367">
        <v>593495</v>
      </c>
      <c r="I43" s="367">
        <f>+Gastos!U255/1000</f>
        <v>495563.375</v>
      </c>
    </row>
    <row r="44" spans="2:9" ht="27" customHeight="1">
      <c r="B44" s="364" t="s">
        <v>608</v>
      </c>
      <c r="C44" s="365">
        <v>2182023</v>
      </c>
      <c r="D44" s="365">
        <v>2243037</v>
      </c>
      <c r="E44" s="365">
        <v>2833517</v>
      </c>
      <c r="F44" s="365">
        <v>3376336</v>
      </c>
      <c r="G44" s="365">
        <v>3573109</v>
      </c>
      <c r="H44" s="365">
        <v>4319668</v>
      </c>
      <c r="I44" s="365">
        <f>+Gastos!U278/1000</f>
        <v>3480953.891</v>
      </c>
    </row>
    <row r="45" spans="2:9" ht="21.75" customHeight="1">
      <c r="B45" s="364" t="s">
        <v>609</v>
      </c>
      <c r="C45" s="365">
        <v>319564</v>
      </c>
      <c r="D45" s="365">
        <v>210062</v>
      </c>
      <c r="E45" s="365">
        <v>239824</v>
      </c>
      <c r="F45" s="365">
        <v>404144</v>
      </c>
      <c r="G45" s="365">
        <v>286526</v>
      </c>
      <c r="H45" s="365">
        <v>336382</v>
      </c>
      <c r="I45" s="365">
        <f>+Gastos!U281/1000</f>
        <v>286020.06</v>
      </c>
    </row>
    <row r="46" spans="2:9" ht="18.75" customHeight="1">
      <c r="B46" s="368" t="s">
        <v>610</v>
      </c>
      <c r="C46" s="369">
        <v>1708188</v>
      </c>
      <c r="D46" s="369">
        <v>1583502</v>
      </c>
      <c r="E46" s="369">
        <v>1880320</v>
      </c>
      <c r="F46" s="369">
        <v>2174034</v>
      </c>
      <c r="G46" s="369">
        <v>1997006</v>
      </c>
      <c r="H46" s="369">
        <v>2344841</v>
      </c>
      <c r="I46" s="369">
        <f>+Gastos!U280/1000</f>
        <v>1920382.462</v>
      </c>
    </row>
    <row r="47" spans="2:9" ht="16.5" customHeight="1">
      <c r="B47" s="368" t="s">
        <v>611</v>
      </c>
      <c r="C47" s="369">
        <v>0</v>
      </c>
      <c r="D47" s="369">
        <v>0</v>
      </c>
      <c r="E47" s="369">
        <v>0</v>
      </c>
      <c r="F47" s="369">
        <v>0</v>
      </c>
      <c r="G47" s="369">
        <v>74031</v>
      </c>
      <c r="H47" s="369">
        <v>132383</v>
      </c>
      <c r="I47" s="369">
        <f>+Gastos!U282/1000</f>
        <v>114696.448</v>
      </c>
    </row>
    <row r="48" spans="2:9" ht="17.25" customHeight="1">
      <c r="B48" s="349" t="s">
        <v>612</v>
      </c>
      <c r="C48" s="370">
        <v>0</v>
      </c>
      <c r="D48" s="370">
        <v>0</v>
      </c>
      <c r="E48" s="370">
        <v>0</v>
      </c>
      <c r="F48" s="370">
        <v>0</v>
      </c>
      <c r="G48" s="370">
        <v>0</v>
      </c>
      <c r="H48" s="370">
        <v>0</v>
      </c>
      <c r="I48" s="370">
        <v>0</v>
      </c>
    </row>
    <row r="49" spans="2:9" ht="15.75" customHeight="1">
      <c r="B49" s="364" t="s">
        <v>613</v>
      </c>
      <c r="C49" s="365">
        <v>1099741</v>
      </c>
      <c r="D49" s="365">
        <v>1166561</v>
      </c>
      <c r="E49" s="365">
        <v>1657322</v>
      </c>
      <c r="F49" s="365">
        <v>2031390</v>
      </c>
      <c r="G49" s="365">
        <v>2318494</v>
      </c>
      <c r="H49" s="365">
        <v>2030783</v>
      </c>
      <c r="I49" s="369">
        <f>+Gastos!U223/1000+Gastos!U226/1000+Gastos!U230/1000+Gastos!U235/1000+Gastos!U256/1000+Gastos!U257/1000+Gastos!U258/1000+Gastos!U259/1000+Gastos!U260/1000+Gastos!U261/1000+Gastos!U262/1000+Gastos!U263/1000+Gastos!U272/1000+Gastos!U279/1000+Gastos!U284/1000+Gastos!U285/1000+Gastos!U286/1000+Gastos!U287/1000+Gastos!U288/1000+Gastos!U290/1000+Gastos!U298/1000+Gastos!U304/1000+Gastos!U309/1000+Gastos!U289/1000+Gastos!U283/1000</f>
        <v>1958359.5009999997</v>
      </c>
    </row>
    <row r="50" spans="2:9" ht="17.25" customHeight="1">
      <c r="B50" s="353" t="s">
        <v>614</v>
      </c>
      <c r="C50" s="363">
        <f aca="true" t="shared" si="5" ref="C50:I50">SUM(C51:C54)</f>
        <v>2674606</v>
      </c>
      <c r="D50" s="363">
        <f t="shared" si="5"/>
        <v>3512631</v>
      </c>
      <c r="E50" s="363">
        <f t="shared" si="5"/>
        <v>3983732</v>
      </c>
      <c r="F50" s="363">
        <f t="shared" si="5"/>
        <v>4329220</v>
      </c>
      <c r="G50" s="363">
        <f t="shared" si="5"/>
        <v>5147667</v>
      </c>
      <c r="H50" s="363">
        <f>SUM(H51:H54)</f>
        <v>6216384</v>
      </c>
      <c r="I50" s="363">
        <f t="shared" si="5"/>
        <v>15255080.056</v>
      </c>
    </row>
    <row r="51" spans="2:9" ht="21" customHeight="1">
      <c r="B51" s="364" t="s">
        <v>615</v>
      </c>
      <c r="C51" s="365">
        <v>0</v>
      </c>
      <c r="D51" s="365">
        <v>0</v>
      </c>
      <c r="E51" s="365">
        <v>0</v>
      </c>
      <c r="F51" s="365">
        <v>0</v>
      </c>
      <c r="G51" s="365">
        <v>0</v>
      </c>
      <c r="H51" s="365">
        <v>0</v>
      </c>
      <c r="I51" s="365">
        <v>0</v>
      </c>
    </row>
    <row r="52" spans="2:9" ht="16.5" customHeight="1">
      <c r="B52" s="364" t="s">
        <v>616</v>
      </c>
      <c r="C52" s="365">
        <v>470000</v>
      </c>
      <c r="D52" s="365">
        <v>700000</v>
      </c>
      <c r="E52" s="365">
        <v>800000</v>
      </c>
      <c r="F52" s="365">
        <v>600000</v>
      </c>
      <c r="G52" s="365">
        <v>600000</v>
      </c>
      <c r="H52" s="365">
        <v>618490</v>
      </c>
      <c r="I52" s="365">
        <f>+Gastos!U327/1000</f>
        <v>500000</v>
      </c>
    </row>
    <row r="53" spans="2:9" ht="15.75" customHeight="1">
      <c r="B53" s="364" t="s">
        <v>617</v>
      </c>
      <c r="C53" s="365">
        <v>1719436</v>
      </c>
      <c r="D53" s="365">
        <v>1973663</v>
      </c>
      <c r="E53" s="365">
        <v>2450135</v>
      </c>
      <c r="F53" s="365">
        <v>2788898</v>
      </c>
      <c r="G53" s="365">
        <v>3141314</v>
      </c>
      <c r="H53" s="365">
        <v>3511450</v>
      </c>
      <c r="I53" s="365">
        <f>+Gastos!U341/1000</f>
        <v>3680694.022</v>
      </c>
    </row>
    <row r="54" spans="2:9" ht="15.75" customHeight="1">
      <c r="B54" s="364" t="s">
        <v>618</v>
      </c>
      <c r="C54" s="365">
        <v>485170</v>
      </c>
      <c r="D54" s="365">
        <v>838968</v>
      </c>
      <c r="E54" s="365">
        <v>733597</v>
      </c>
      <c r="F54" s="365">
        <v>940322</v>
      </c>
      <c r="G54" s="365">
        <v>1406353</v>
      </c>
      <c r="H54" s="365">
        <v>2086444</v>
      </c>
      <c r="I54" s="365">
        <f>+Gastos!U323/1000-Gastos!U327/1000-Gastos!U341/1000</f>
        <v>11074386.034</v>
      </c>
    </row>
    <row r="55" spans="2:9" ht="15" customHeight="1">
      <c r="B55" s="353" t="s">
        <v>619</v>
      </c>
      <c r="C55" s="363">
        <f aca="true" t="shared" si="6" ref="C55:I55">SUM(C56:C58)</f>
        <v>872362</v>
      </c>
      <c r="D55" s="363">
        <f t="shared" si="6"/>
        <v>742112</v>
      </c>
      <c r="E55" s="363">
        <f t="shared" si="6"/>
        <v>1875683</v>
      </c>
      <c r="F55" s="363">
        <f t="shared" si="6"/>
        <v>3148269</v>
      </c>
      <c r="G55" s="363">
        <f t="shared" si="6"/>
        <v>4394222</v>
      </c>
      <c r="H55" s="363">
        <f>SUM(H56:H58)</f>
        <v>2681841</v>
      </c>
      <c r="I55" s="363">
        <f t="shared" si="6"/>
        <v>1681865.514</v>
      </c>
    </row>
    <row r="56" spans="2:9" ht="15" customHeight="1">
      <c r="B56" s="371" t="s">
        <v>620</v>
      </c>
      <c r="C56" s="372">
        <v>38142</v>
      </c>
      <c r="D56" s="372">
        <v>11967</v>
      </c>
      <c r="E56" s="372">
        <v>58271</v>
      </c>
      <c r="F56" s="372">
        <v>62317</v>
      </c>
      <c r="G56" s="372">
        <v>70259</v>
      </c>
      <c r="H56" s="372">
        <v>55543</v>
      </c>
      <c r="I56" s="372">
        <f>+Gastos!U399/1000</f>
        <v>13934.211</v>
      </c>
    </row>
    <row r="57" spans="2:9" ht="12.75" customHeight="1">
      <c r="B57" s="371" t="s">
        <v>621</v>
      </c>
      <c r="C57" s="372">
        <v>834220</v>
      </c>
      <c r="D57" s="372">
        <v>730145</v>
      </c>
      <c r="E57" s="372">
        <v>1817412</v>
      </c>
      <c r="F57" s="372">
        <v>3085952</v>
      </c>
      <c r="G57" s="372">
        <v>4323963</v>
      </c>
      <c r="H57" s="372">
        <v>2626298</v>
      </c>
      <c r="I57" s="372">
        <f>+Gastos!U402/1000</f>
        <v>1667931.303</v>
      </c>
    </row>
    <row r="58" spans="2:9" ht="14.25" customHeight="1">
      <c r="B58" s="371" t="s">
        <v>622</v>
      </c>
      <c r="C58" s="372">
        <v>0</v>
      </c>
      <c r="D58" s="372">
        <v>0</v>
      </c>
      <c r="E58" s="372">
        <v>0</v>
      </c>
      <c r="F58" s="372">
        <v>0</v>
      </c>
      <c r="G58" s="372">
        <v>0</v>
      </c>
      <c r="H58" s="372">
        <v>0</v>
      </c>
      <c r="I58" s="372">
        <v>0</v>
      </c>
    </row>
    <row r="59" spans="2:9" ht="18" customHeight="1" thickBot="1">
      <c r="B59" s="357" t="s">
        <v>623</v>
      </c>
      <c r="C59" s="373">
        <v>3083334</v>
      </c>
      <c r="D59" s="373">
        <v>1516030</v>
      </c>
      <c r="E59" s="373">
        <v>604854</v>
      </c>
      <c r="F59" s="373">
        <v>793325</v>
      </c>
      <c r="G59" s="373">
        <v>966714</v>
      </c>
      <c r="H59" s="373">
        <v>535810</v>
      </c>
      <c r="I59" s="373">
        <f>+Gastos!U317/1000+Gastos!U362/1000+Gastos!U365/1000+Gastos!U372/1000+Gastos!U416/1000+Gastos!U422/1000+Gastos!U432/1000+Gastos!U444/1000</f>
        <v>496594.841</v>
      </c>
    </row>
    <row r="60" spans="2:9" ht="15.75" thickBot="1">
      <c r="B60" s="374"/>
      <c r="C60" s="375"/>
      <c r="D60" s="375"/>
      <c r="E60" s="375"/>
      <c r="F60" s="375"/>
      <c r="G60" s="375"/>
      <c r="H60" s="375"/>
      <c r="I60" s="375"/>
    </row>
    <row r="61" spans="2:9" ht="18.75" customHeight="1" thickBot="1">
      <c r="B61" s="376" t="s">
        <v>624</v>
      </c>
      <c r="C61" s="377">
        <v>1498863</v>
      </c>
      <c r="D61" s="377">
        <v>641908</v>
      </c>
      <c r="E61" s="377">
        <v>35266</v>
      </c>
      <c r="F61" s="377">
        <v>0</v>
      </c>
      <c r="G61" s="377">
        <v>484272</v>
      </c>
      <c r="H61" s="377">
        <v>14856</v>
      </c>
      <c r="I61" s="377">
        <v>0</v>
      </c>
    </row>
    <row r="62" spans="2:9" ht="15.75" thickBot="1">
      <c r="B62" s="378"/>
      <c r="C62" s="375"/>
      <c r="D62" s="375"/>
      <c r="E62" s="375"/>
      <c r="F62" s="375"/>
      <c r="G62" s="375"/>
      <c r="H62" s="375"/>
      <c r="I62" s="375"/>
    </row>
    <row r="63" spans="2:9" ht="18" customHeight="1">
      <c r="B63" s="379" t="s">
        <v>625</v>
      </c>
      <c r="C63" s="406"/>
      <c r="D63" s="380"/>
      <c r="E63" s="406"/>
      <c r="F63" s="380"/>
      <c r="G63" s="406"/>
      <c r="H63" s="406"/>
      <c r="I63" s="407"/>
    </row>
    <row r="64" spans="2:9" ht="16.5" customHeight="1" thickBot="1">
      <c r="B64" s="381" t="s">
        <v>626</v>
      </c>
      <c r="C64" s="408">
        <f aca="true" t="shared" si="7" ref="C64:I64">+C12-C34</f>
        <v>-310649</v>
      </c>
      <c r="D64" s="382">
        <f t="shared" si="7"/>
        <v>1053488</v>
      </c>
      <c r="E64" s="408">
        <f t="shared" si="7"/>
        <v>767408</v>
      </c>
      <c r="F64" s="382">
        <f t="shared" si="7"/>
        <v>-758835</v>
      </c>
      <c r="G64" s="408">
        <f t="shared" si="7"/>
        <v>-244578</v>
      </c>
      <c r="H64" s="408">
        <f>+H12-H34</f>
        <v>1090372</v>
      </c>
      <c r="I64" s="409">
        <f t="shared" si="7"/>
        <v>388296.1279999986</v>
      </c>
    </row>
    <row r="65" spans="2:9" ht="9.75" customHeight="1" thickBot="1">
      <c r="B65" s="383"/>
      <c r="C65" s="384"/>
      <c r="D65" s="384"/>
      <c r="E65" s="384"/>
      <c r="F65" s="384"/>
      <c r="G65" s="384"/>
      <c r="H65" s="384"/>
      <c r="I65" s="384"/>
    </row>
    <row r="66" spans="2:9" ht="18" customHeight="1" thickBot="1">
      <c r="B66" s="385" t="s">
        <v>627</v>
      </c>
      <c r="C66" s="410">
        <v>0</v>
      </c>
      <c r="D66" s="411">
        <v>0</v>
      </c>
      <c r="E66" s="411">
        <v>1343141</v>
      </c>
      <c r="F66" s="411">
        <v>2108166</v>
      </c>
      <c r="G66" s="411">
        <v>1833640</v>
      </c>
      <c r="H66" s="411">
        <v>1638197</v>
      </c>
      <c r="I66" s="411">
        <f>+Ingresos!W143/1000</f>
        <v>2737566</v>
      </c>
    </row>
    <row r="67" spans="2:9" ht="9.75" customHeight="1" thickBot="1">
      <c r="B67" s="378"/>
      <c r="C67" s="375"/>
      <c r="D67" s="375"/>
      <c r="E67" s="375"/>
      <c r="F67" s="375"/>
      <c r="G67" s="375"/>
      <c r="H67" s="375"/>
      <c r="I67" s="375"/>
    </row>
    <row r="68" spans="2:9" ht="17.25" customHeight="1" thickBot="1">
      <c r="B68" s="386" t="s">
        <v>628</v>
      </c>
      <c r="C68" s="387">
        <f aca="true" t="shared" si="8" ref="C68:I68">SUM(C64+C66)</f>
        <v>-310649</v>
      </c>
      <c r="D68" s="387">
        <f t="shared" si="8"/>
        <v>1053488</v>
      </c>
      <c r="E68" s="387">
        <f t="shared" si="8"/>
        <v>2110549</v>
      </c>
      <c r="F68" s="387">
        <f t="shared" si="8"/>
        <v>1349331</v>
      </c>
      <c r="G68" s="387">
        <f t="shared" si="8"/>
        <v>1589062</v>
      </c>
      <c r="H68" s="387">
        <f>SUM(H64+H66)</f>
        <v>2728569</v>
      </c>
      <c r="I68" s="387">
        <f t="shared" si="8"/>
        <v>3125862.1279999986</v>
      </c>
    </row>
  </sheetData>
  <sheetProtection/>
  <mergeCells count="5">
    <mergeCell ref="C5:D5"/>
    <mergeCell ref="C6:D6"/>
    <mergeCell ref="C7:D7"/>
    <mergeCell ref="C8:D8"/>
    <mergeCell ref="B4:F4"/>
  </mergeCells>
  <dataValidations count="1">
    <dataValidation type="list" allowBlank="1" showInputMessage="1" showErrorMessage="1" sqref="C5">
      <formula1>R3:R352</formula1>
    </dataValidation>
  </dataValidations>
  <printOptions/>
  <pageMargins left="0" right="0.31496062992125984" top="0.35433070866141736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imunicipalidad de rancagua</dc:creator>
  <cp:keywords/>
  <dc:description/>
  <cp:lastModifiedBy>Hipólito Castro</cp:lastModifiedBy>
  <cp:lastPrinted>2015-10-14T12:00:17Z</cp:lastPrinted>
  <dcterms:created xsi:type="dcterms:W3CDTF">2008-05-22T15:06:41Z</dcterms:created>
  <dcterms:modified xsi:type="dcterms:W3CDTF">2015-10-14T12:00:21Z</dcterms:modified>
  <cp:category/>
  <cp:version/>
  <cp:contentType/>
  <cp:contentStatus/>
</cp:coreProperties>
</file>